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kMo2N8hCetjsqfaZGbPB8jOT4/Xx9/hpIEMR0B4slz3O/y9rx20YTv5zBGgDidy6kUv79/xbQsSiPvpcV0qOIw==" workbookSaltValue="oc0fIWYyqNI3Sf6DL76L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S19" i="8"/>
  <c r="S12" i="14"/>
  <c r="V12" i="14" s="1"/>
  <c r="S16" i="14"/>
  <c r="V16" i="14" s="1"/>
  <c r="BE9" i="13"/>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<sst xmlns="http://schemas.openxmlformats.org/spreadsheetml/2006/main" count="2102" uniqueCount="918">
  <si>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</si>
  <si>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</si>
  <si>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</si>
  <si>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</si>
  <si>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</si>
  <si>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</si>
  <si>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</si>
  <si>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</si>
  <si>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</si>
  <si>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</si>
  <si>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</si>
  <si>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</si>
  <si>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</si>
  <si>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</si>
  <si>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</si>
  <si>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</si>
  <si>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</si>
  <si>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</si>
  <si>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</si>
  <si>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</si>
  <si>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</si>
  <si>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</si>
  <si>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</si>
  <si>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</si>
  <si>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</si>
  <si>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</si>
  <si>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</si>
  <si>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</si>
  <si>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</si>
  <si>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</si>
  <si>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</si>
  <si>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</si>
  <si>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</si>
  <si>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</si>
  <si>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</si>
  <si>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</si>
  <si>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</si>
  <si>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</si>
  <si>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</si>
  <si>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</si>
  <si>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</si>
  <si>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</si>
  <si>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</si>
  <si>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</si>
  <si>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</si>
  <si>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</si>
  <si>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</si>
  <si>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</si>
  <si>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</si>
  <si>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</si>
  <si>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</si>
  <si>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</si>
  <si>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</si>
  <si>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</si>
  <si>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</si>
  <si>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</si>
  <si>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</si>
  <si>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</si>
  <si>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</si>
  <si>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</si>
  <si>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</si>
  <si>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</si>
  <si>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</si>
  <si>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</si>
  <si>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</si>
  <si>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</si>
  <si>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</si>
  <si>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</si>
  <si>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</si>
  <si>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</si>
  <si>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</si>
  <si>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</si>
  <si>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</si>
  <si>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</si>
  <si>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</si>
  <si>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</si>
  <si>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</si>
  <si>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</si>
  <si>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</si>
  <si>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</si>
  <si>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</si>
  <si>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</si>
  <si>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</si>
  <si>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</si>
  <si>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</si>
  <si>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</si>
  <si>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</si>
  <si>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</si>
  <si>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</si>
  <si>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</si>
  <si>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</si>
  <si>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</si>
  <si>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</si>
  <si>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</si>
  <si>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</si>
  <si>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</si>
  <si>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</si>
  <si>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</si>
  <si>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</si>
  <si>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</si>
  <si>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</si>
  <si>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</si>
  <si>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</si>
  <si>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</si>
  <si>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</si>
  <si>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</si>
  <si>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</si>
  <si>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</si>
  <si>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</si>
  <si>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</si>
  <si>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</si>
  <si>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</si>
  <si>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</si>
  <si>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</si>
  <si>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</si>
  <si>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</si>
  <si>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</si>
  <si>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</si>
  <si>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</si>
  <si>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</si>
  <si>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</si>
  <si>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</si>
  <si>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</si>
  <si>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</si>
  <si>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</si>
  <si>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</si>
  <si>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</si>
  <si>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</si>
  <si>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</si>
  <si>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</si>
  <si>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</si>
  <si>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</si>
  <si>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</si>
  <si>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</si>
  <si>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</si>
  <si>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</si>
  <si>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</si>
  <si>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</si>
  <si>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</si>
  <si>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</si>
  <si>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</si>
  <si>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</si>
  <si>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</si>
  <si>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</si>
  <si>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</si>
  <si>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</si>
  <si>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</si>
  <si>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</si>
  <si>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</si>
  <si>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</si>
  <si>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</si>
  <si>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</si>
  <si>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</si>
  <si>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</si>
  <si>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</si>
  <si>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</si>
  <si>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</si>
  <si>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</si>
  <si>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</si>
  <si>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</si>
  <si>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</si>
  <si>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</si>
  <si>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</si>
  <si>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</si>
  <si>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</si>
  <si>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</si>
  <si>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</si>
  <si>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</si>
  <si>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</si>
  <si>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</si>
  <si>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</si>
  <si>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</si>
  <si>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</si>
  <si>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</si>
  <si>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</si>
  <si>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</si>
  <si>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</si>
  <si>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</si>
  <si>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</si>
  <si>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</si>
  <si>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</si>
  <si>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</si>
  <si>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</si>
  <si>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</si>
  <si>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</si>
  <si>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</si>
  <si>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</si>
  <si>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</si>
  <si>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</si>
  <si>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</si>
  <si>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</si>
  <si>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</si>
  <si>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</si>
  <si>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</si>
  <si>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</si>
  <si>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</si>
  <si>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</si>
  <si>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</si>
  <si>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</si>
  <si>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</si>
  <si>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</si>
  <si>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</si>
  <si>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</si>
  <si>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</si>
  <si>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</si>
  <si>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</si>
  <si>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</si>
  <si>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</si>
  <si>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</si>
  <si>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</si>
  <si>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</si>
  <si>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</si>
  <si>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</si>
  <si>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</si>
  <si>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</si>
  <si>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</si>
  <si>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</si>
  <si>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</si>
  <si>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</si>
  <si>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</si>
  <si>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</si>
  <si>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</si>
  <si>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</si>
  <si>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</si>
  <si>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</si>
  <si>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</si>
  <si>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</si>
  <si>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</si>
  <si>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</si>
  <si>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</si>
  <si>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</si>
  <si>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</si>
  <si>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</si>
  <si>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</si>
  <si>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</si>
  <si>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</si>
  <si>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</si>
  <si>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</si>
  <si>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</si>
  <si>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</si>
  <si>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</si>
  <si>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</si>
  <si>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</si>
  <si>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</si>
  <si>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</si>
  <si>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</si>
  <si>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</si>
  <si>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</si>
  <si>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</si>
  <si>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</si>
  <si>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</si>
  <si>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</si>
  <si>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</si>
  <si>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</si>
  <si>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</si>
  <si>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</si>
  <si>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</si>
  <si>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</si>
  <si>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</si>
  <si>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</si>
  <si>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</si>
  <si>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</si>
  <si>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</si>
  <si>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</si>
  <si>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</si>
  <si>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</si>
  <si>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</si>
  <si>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</si>
  <si>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</si>
  <si>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</si>
  <si>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</si>
  <si>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</si>
  <si>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</si>
  <si>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</si>
  <si>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</si>
  <si>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</si>
  <si>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</si>
  <si>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</si>
  <si>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</si>
  <si>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</si>
  <si>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</si>
  <si>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</si>
  <si>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</si>
  <si>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</si>
  <si>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</si>
  <si>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</si>
  <si>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</si>
  <si>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</si>
  <si>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</si>
  <si>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</si>
  <si>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</si>
  <si>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</si>
  <si>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</si>
  <si>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</si>
  <si>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</si>
  <si>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</si>
  <si>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</si>
  <si>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</si>
  <si>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</si>
  <si>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</si>
  <si>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</si>
  <si>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</si>
  <si>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</si>
  <si>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</si>
  <si>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</si>
  <si>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</si>
  <si>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</si>
  <si>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</si>
  <si>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</si>
  <si>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</si>
  <si>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</si>
  <si>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</si>
  <si>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</si>
  <si>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</si>
  <si>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</si>
  <si>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</si>
  <si>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</si>
  <si>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</si>
  <si>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</si>
  <si>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</si>
  <si>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</si>
  <si>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</si>
  <si>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</si>
  <si>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</si>
  <si>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</si>
  <si>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</si>
  <si>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</si>
  <si>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</si>
  <si>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</si>
  <si>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</si>
  <si>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</si>
  <si>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</si>
  <si>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</si>
  <si>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</si>
  <si>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</si>
  <si>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</si>
  <si>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</si>
  <si>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</si>
  <si>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</si>
  <si>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</si>
  <si>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</si>
  <si>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</si>
  <si>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</si>
  <si>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</si>
  <si>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</si>
  <si>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</si>
  <si>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</si>
  <si>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</si>
  <si>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</si>
  <si>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</si>
  <si>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</si>
  <si>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</si>
  <si>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</si>
  <si>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</si>
  <si>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</si>
  <si>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</si>
  <si>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</si>
  <si>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</si>
  <si>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</si>
  <si>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</si>
  <si>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</si>
  <si>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</si>
  <si>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</si>
  <si>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</si>
  <si>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</si>
  <si>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</si>
  <si>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</si>
  <si>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</si>
  <si>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</si>
  <si>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</si>
  <si>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</si>
  <si>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</si>
  <si>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</si>
  <si>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</si>
  <si>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</si>
  <si>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</si>
  <si>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</si>
  <si>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</si>
  <si>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</si>
  <si>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</si>
  <si>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</si>
  <si>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</si>
  <si>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</si>
  <si>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</si>
  <si>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</si>
  <si>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</si>
  <si>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</si>
  <si>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</si>
  <si>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</si>
  <si>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</si>
  <si>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</si>
  <si>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</si>
  <si>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</si>
  <si>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</si>
  <si>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</si>
  <si>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</si>
  <si>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</si>
  <si>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</si>
  <si>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</si>
  <si>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</si>
  <si>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</si>
  <si>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</si>
  <si>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</si>
  <si>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</si>
  <si>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</si>
  <si>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</si>
  <si>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</si>
  <si>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</si>
  <si>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</si>
  <si>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</si>
  <si>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</si>
  <si>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</si>
  <si>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</si>
  <si>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</si>
  <si>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</si>
  <si>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</si>
  <si>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</si>
  <si>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</si>
  <si>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</si>
  <si>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</si>
  <si>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</si>
  <si>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</si>
  <si>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</si>
  <si>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</si>
  <si>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</si>
  <si>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</si>
  <si>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</si>
  <si>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</si>
  <si>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</si>
  <si>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</si>
  <si>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</si>
  <si>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</si>
  <si>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</si>
  <si>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</si>
  <si>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</si>
  <si>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</si>
  <si>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</si>
  <si>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</si>
  <si>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</si>
  <si>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</si>
  <si>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</si>
  <si>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</si>
  <si>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</si>
  <si>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</si>
  <si>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</si>
  <si>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</si>
  <si>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</si>
  <si>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</si>
  <si>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</si>
  <si>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</si>
  <si>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</si>
  <si>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</si>
  <si>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</si>
  <si>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</si>
  <si>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</si>
  <si>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</si>
  <si>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</si>
  <si>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</si>
  <si>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</si>
  <si>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</si>
  <si>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</si>
  <si>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</si>
  <si>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</si>
  <si>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</si>
  <si>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</si>
  <si>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</si>
  <si>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</si>
  <si>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</si>
  <si>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</si>
  <si>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</si>
  <si>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</si>
  <si>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</si>
  <si>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</si>
  <si>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</si>
  <si>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</si>
  <si>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</si>
  <si>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</si>
  <si>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</si>
  <si>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</si>
  <si>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</si>
  <si>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</si>
  <si>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</si>
  <si>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</si>
  <si>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</si>
  <si>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</si>
  <si>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</si>
  <si>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</si>
  <si>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</si>
  <si>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</si>
  <si>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</si>
  <si>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</si>
  <si>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</si>
  <si>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</si>
  <si>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</si>
  <si>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</si>
  <si>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</si>
  <si>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</si>
  <si>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</si>
  <si>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</si>
  <si>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</si>
  <si>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</si>
  <si>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</si>
  <si>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</si>
  <si>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</si>
  <si>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</si>
  <si>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</si>
  <si>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</si>
  <si>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</si>
  <si>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</si>
  <si>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</si>
  <si>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</si>
  <si>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</si>
  <si>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</si>
  <si>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</si>
  <si>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</si>
  <si>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</si>
  <si>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</si>
  <si>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</si>
  <si>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</si>
  <si>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</si>
  <si>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</si>
  <si>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</si>
  <si>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</si>
  <si>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</si>
  <si>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</si>
  <si>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</si>
  <si>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</si>
  <si>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</si>
  <si>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</si>
  <si>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</si>
  <si>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</si>
  <si>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</si>
  <si>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</si>
  <si>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</si>
  <si>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</si>
  <si>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</si>
  <si>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</si>
  <si>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</si>
  <si>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</si>
  <si>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</si>
  <si>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</si>
  <si>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</si>
  <si>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</si>
  <si>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</si>
  <si>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</si>
  <si>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</si>
  <si>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</si>
  <si>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</si>
  <si>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</si>
  <si>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</si>
  <si>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</si>
  <si>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</si>
  <si>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</si>
  <si>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</si>
  <si>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</si>
  <si>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</si>
  <si>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</si>
  <si>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</si>
  <si>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</si>
  <si>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</si>
  <si>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</si>
  <si>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</si>
  <si>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</si>
  <si>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</si>
  <si>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</si>
  <si>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</si>
  <si>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</si>
  <si>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</si>
  <si>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</si>
  <si>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</si>
  <si>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</si>
  <si>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</si>
  <si>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</si>
  <si>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</si>
  <si>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</si>
  <si>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</si>
  <si>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</si>
  <si>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</si>
  <si>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</si>
  <si>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</si>
  <si>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</si>
  <si>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</si>
  <si>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</si>
  <si>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</si>
  <si>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</si>
  <si>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</si>
  <si>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</si>
  <si>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</si>
  <si>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</si>
  <si>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</si>
  <si>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</si>
  <si>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</si>
  <si>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</si>
  <si>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</si>
  <si>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</si>
  <si>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</si>
  <si>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</si>
  <si>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</si>
  <si>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</si>
  <si>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</si>
  <si>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</si>
  <si>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</si>
  <si>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</si>
  <si>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</si>
  <si>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</si>
  <si>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</si>
  <si>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</si>
  <si>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</si>
  <si>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</si>
  <si>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</si>
  <si>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</si>
  <si>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</si>
  <si>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</si>
  <si>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</si>
  <si>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</si>
  <si>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</si>
  <si>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</si>
  <si>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</si>
  <si>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</si>
  <si>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</si>
  <si>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</si>
  <si>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</si>
  <si>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</si>
  <si>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</si>
  <si>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</si>
  <si>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</si>
  <si>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</si>
  <si>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</si>
  <si>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</si>
  <si>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</si>
  <si>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</si>
  <si>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</si>
  <si>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</si>
  <si>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</si>
  <si>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</si>
  <si>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</si>
  <si>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</si>
  <si>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</si>
  <si>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</si>
  <si>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</si>
  <si>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</si>
  <si>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</si>
  <si>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</si>
  <si>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</si>
  <si>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</si>
  <si>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</si>
  <si>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</si>
  <si>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</si>
  <si>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</si>
  <si>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</si>
  <si>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</si>
  <si>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</si>
  <si>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</si>
  <si>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</si>
  <si>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</si>
  <si>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</si>
  <si>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</si>
  <si>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</si>
  <si>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</si>
  <si>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</si>
  <si>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</si>
  <si>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</si>
  <si>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</si>
  <si>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</si>
  <si>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</si>
  <si>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</si>
  <si>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</si>
  <si>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</si>
  <si>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</si>
  <si>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</si>
  <si>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</si>
  <si>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</si>
  <si>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</si>
  <si>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</si>
  <si>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</si>
  <si>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</si>
  <si>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</si>
  <si>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</si>
  <si>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</si>
  <si>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</si>
  <si>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</si>
  <si>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</si>
  <si>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</si>
  <si>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</si>
  <si>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</si>
  <si>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</si>
  <si>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</si>
  <si>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</si>
  <si>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</si>
  <si>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</si>
  <si>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</si>
  <si>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</si>
  <si>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</si>
  <si>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</si>
  <si>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</si>
  <si>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</si>
  <si>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</si>
  <si>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</si>
  <si>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</si>
  <si>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</si>
  <si>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</si>
  <si>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</si>
  <si>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</si>
  <si>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</si>
  <si>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</si>
  <si>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</si>
  <si>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</si>
  <si>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</si>
  <si>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</si>
  <si>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</si>
  <si>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</si>
  <si>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</si>
  <si>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</si>
  <si>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</si>
  <si>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</si>
  <si>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</si>
  <si>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</si>
  <si>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</si>
  <si>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</si>
  <si>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</si>
  <si>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</si>
  <si>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</si>
  <si>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</si>
  <si>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</si>
  <si>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</si>
  <si>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</si>
  <si>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</si>
  <si>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</si>
  <si>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</si>
  <si>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</si>
  <si>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</si>
  <si>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</si>
  <si>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</si>
  <si>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</si>
  <si>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</si>
  <si>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</si>
  <si>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</si>
  <si>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</si>
  <si>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</si>
  <si>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</si>
  <si>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</si>
  <si>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</si>
  <si>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</si>
  <si>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</si>
  <si>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</si>
  <si>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</si>
  <si>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</si>
  <si>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</si>
  <si>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</si>
  <si>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</si>
  <si>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</si>
  <si>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</si>
  <si>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</si>
  <si>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</si>
  <si>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</si>
  <si>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</si>
  <si>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</si>
  <si>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</si>
  <si>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</si>
  <si>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</si>
  <si>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</si>
  <si>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</si>
  <si>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</si>
  <si>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</si>
  <si>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</si>
  <si>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</si>
  <si>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</si>
  <si>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</si>
  <si>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</si>
  <si>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</si>
  <si>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</si>
  <si>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</si>
  <si>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</si>
  <si>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</si>
  <si>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</si>
  <si>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</si>
  <si>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</si>
  <si>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</si>
  <si>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</si>
  <si>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</si>
  <si>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</si>
  <si>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</si>
  <si>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</si>
  <si>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</si>
  <si>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</si>
  <si>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</si>
  <si>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</si>
  <si>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</si>
  <si>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</si>
  <si>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</si>
  <si>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</si>
  <si>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</si>
  <si>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</si>
  <si>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</si>
  <si>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</si>
  <si>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</si>
  <si>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</si>
  <si>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</si>
  <si>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</si>
  <si>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</si>
  <si>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</si>
  <si>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</si>
  <si>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</si>
  <si>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</si>
  <si>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</si>
  <si>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</si>
  <si>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</si>
  <si>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</si>
  <si>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</si>
  <si>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</si>
  <si>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</si>
  <si>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</si>
  <si>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</si>
  <si>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</si>
  <si>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</si>
  <si>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</si>
  <si>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</si>
  <si>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</si>
  <si>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</si>
  <si>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</si>
  <si>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</si>
  <si>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</si>
  <si>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</si>
  <si>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</si>
  <si>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</si>
  <si>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</si>
  <si>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</si>
  <si>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</si>
  <si>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</si>
  <si>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</si>
  <si>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</si>
  <si>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</si>
  <si>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</si>
  <si>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</si>
  <si>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</si>
  <si>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</si>
  <si>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</si>
  <si>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</si>
  <si>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</si>
  <si>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</si>
  <si>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</si>
  <si>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</si>
  <si>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</si>
  <si>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</si>
  <si>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</si>
  <si>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</si>
  <si>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</si>
  <si>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</si>
  <si>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</si>
  <si>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</si>
  <si>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</si>
  <si>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</si>
  <si>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</si>
  <si>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</si>
  <si>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</si>
  <si>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</si>
  <si>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</si>
  <si>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</si>
  <si>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</si>
  <si>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</si>
  <si>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</si>
  <si>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</si>
  <si>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</si>
  <si>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</si>
  <si>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</si>
  <si>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</si>
  <si>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</si>
  <si>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</si>
  <si>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</si>
  <si>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</si>
  <si>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</si>
  <si>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</si>
  <si>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</si>
  <si>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</si>
  <si>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</si>
  <si>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</si>
  <si>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</si>
  <si>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</si>
  <si>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</si>
  <si>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</si>
  <si>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</si>
  <si>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</si>
  <si>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</si>
  <si>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</si>
  <si>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</si>
  <si>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</si>
  <si>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</si>
  <si>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</si>
  <si>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</si>
  <si>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</si>
  <si>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</si>
  <si>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</si>
  <si>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</si>
  <si>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</si>
  <si>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</si>
  <si>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</si>
  <si>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</si>
  <si>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</si>
  <si>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</si>
  <si>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</si>
  <si>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</si>
  <si>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</si>
  <si>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</si>
  <si>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</si>
  <si>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</si>
  <si>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</si>
  <si>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</si>
  <si>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</si>
  <si>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</si>
  <si>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</si>
  <si>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</si>
  <si>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</si>
  <si>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</si>
  <si>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</si>
  <si>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</si>
  <si>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ZAMORA</t>
  </si>
  <si>
    <t>Resumenes por Partidos Judiciales</t>
  </si>
  <si>
    <t>BENAVENTE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</si>
</sst>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O0zZB+0wTfn3i1wY+h7dIMsuJwBSls/7EXeKFmso4qHfmF1937Xh9/VFIoHm7z/QkM7/sHmjguNFWY/BNl4Cw==" saltValue="oNwjEO1YvFqiA1ahekoi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28</v>
      </c>
      <c r="F10" s="226">
        <f>IF(ISNUMBER(Datos!K10),Datos!K10," - ")</f>
        <v>24</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9.2379570516540923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28</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714</v>
      </c>
      <c r="D16" s="225">
        <f>IF(ISNUMBER(IF(D_I="SI",Datos!I16,Datos!I16+Datos!AC16)),IF(D_I="SI",Datos!I16,Datos!I16+Datos!AC16)," - ")</f>
        <v>691</v>
      </c>
      <c r="E16" s="226">
        <f>IF(ISNUMBER(IF(D_I="SI",Datos!J16,Datos!J16+Datos!AD16)),IF(D_I="SI",Datos!J16,Datos!J16+Datos!AD16)," - ")</f>
        <v>1476</v>
      </c>
      <c r="F16" s="226">
        <f>IF(ISNUMBER(IF(D_I="SI",Datos!K16,Datos!K16+Datos!AE16)),IF(D_I="SI",Datos!K16,Datos!K16+Datos!AE16)," - ")</f>
        <v>1606</v>
      </c>
      <c r="G16" s="1034" t="str">
        <f>IF(Datos!E16&lt;&gt;"",Datos!E16,Datos!D16)</f>
        <v>04</v>
      </c>
      <c r="H16" s="227">
        <f>IF(ISNUMBER(IF(D_I="SI",Datos!L16,Datos!L16+Datos!AF16)),IF(D_I="SI",Datos!L16,Datos!L16+Datos!AF16)," - ")</f>
        <v>584</v>
      </c>
      <c r="I16" s="1044" t="str">
        <f>IF(ISNUMBER(Datos!AS16/Datos!BM16),Datos!AS16/Datos!BM16," - ")</f>
        <v xml:space="preserve"> - </v>
      </c>
      <c r="J16" s="1045">
        <f>IF(ISNUMBER(Datos!BY16/Datos!CN16),Datos!BY16/Datos!CN16," - ")</f>
        <v>0</v>
      </c>
      <c r="K16" s="230">
        <f t="shared" si="3"/>
        <v>-0.18207282913165265</v>
      </c>
      <c r="L16" s="1025">
        <f>IF(ISNUMBER(NºAsuntos!I16/NºAsuntos!G16),(NºAsuntos!I16/NºAsuntos!G16)*11," - ")</f>
        <v>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75</v>
      </c>
      <c r="F17" s="226">
        <f>IF(ISNUMBER(IF(D_I="SI",Datos!K17,Datos!K17+Datos!AE17)),IF(D_I="SI",Datos!K17,Datos!K17+Datos!AE17)," - ")</f>
        <v>69</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0.17647058823529413</v>
      </c>
      <c r="L17" s="1025">
        <f>IF(ISNUMBER(NºAsuntos!I17/NºAsuntos!G17),(NºAsuntos!I17/NºAsuntos!G17)*11," - ")</f>
        <v>6.3768115942028984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748</v>
      </c>
      <c r="D18" s="1049">
        <f>SUBTOTAL(9,D15:D17)</f>
        <v>725</v>
      </c>
      <c r="E18" s="1050">
        <f>SUBTOTAL(9,E15:E17)</f>
        <v>1551</v>
      </c>
      <c r="F18" s="1050">
        <f>SUBTOTAL(9,F15:F17)</f>
        <v>1675</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756</v>
      </c>
      <c r="D19" s="1071">
        <f>SUBTOTAL(9,D9:D18)</f>
        <v>733</v>
      </c>
      <c r="E19" s="1072">
        <f>SUBTOTAL(9,E9:E18)</f>
        <v>1579</v>
      </c>
      <c r="F19" s="1072">
        <f>SUBTOTAL(9,F9:F18)</f>
        <v>1699</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863LdVexNrlJ+8uDtO603I/IFnYYDSInLcnvRmjpjgGJpbZPXoQFu4qF2zAlvID0Pa9TSKOEUK6HTSifd0pRg==" saltValue="KRLNP+xuy4weuZbw2eSb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w+bqyEGbTjs+AVCtmzwdYtUc0hfb+hNJnoz9JYb7wsjC6wlsjWh2ihL9L29rat9B9tfsj39xLqX42QMLStZtQ==" saltValue="1fgUodHlPVBINysEh8wY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28</v>
      </c>
      <c r="K10" s="181">
        <v>24</v>
      </c>
      <c r="L10" s="181">
        <v>12</v>
      </c>
      <c r="M10" s="181">
        <v>16</v>
      </c>
      <c r="N10" s="181">
        <v>2</v>
      </c>
      <c r="O10" s="181">
        <v>0</v>
      </c>
      <c r="P10" s="181">
        <v>5</v>
      </c>
      <c r="Q10" s="181">
        <v>0</v>
      </c>
      <c r="R10" s="181">
        <v>7</v>
      </c>
      <c r="S10" s="181">
        <v>1</v>
      </c>
      <c r="T10" s="181">
        <v>22</v>
      </c>
      <c r="U10" s="181">
        <v>15</v>
      </c>
      <c r="V10" s="181">
        <v>8</v>
      </c>
      <c r="W10" s="181">
        <v>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22</v>
      </c>
      <c r="BA10" s="129">
        <f t="shared" si="0"/>
        <v>15</v>
      </c>
      <c r="BB10" s="129">
        <f t="shared" si="0"/>
        <v>8</v>
      </c>
      <c r="BC10" s="125">
        <f t="shared" si="0"/>
        <v>4</v>
      </c>
      <c r="BD10" s="126">
        <f>IF(ISNUMBER(BA10/AZ10),BA10/AZ10," - ")</f>
        <v>0.68181818181818177</v>
      </c>
      <c r="BE10" s="127">
        <f>IF(ISNUMBER(BB10/BA10),BB10/BA10, " - ")</f>
        <v>0.53333333333333333</v>
      </c>
      <c r="BF10" s="127">
        <f>IF(ISNUMBER(BC10/BA10),BC10/BA10, " - ")</f>
        <v>0.26666666666666666</v>
      </c>
      <c r="BG10" s="196">
        <f>IF(ISNUMBER((AY10+AZ10)/BA10),(AY10+AZ10)/BA10," - ")</f>
        <v>1.5333333333333334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1266</v>
      </c>
      <c r="J12" s="183">
        <v>1652</v>
      </c>
      <c r="K12" s="183">
        <v>1642</v>
      </c>
      <c r="L12" s="183">
        <v>1276</v>
      </c>
      <c r="M12" s="183">
        <v>620</v>
      </c>
      <c r="N12" s="183">
        <v>447</v>
      </c>
      <c r="O12" s="181">
        <v>800</v>
      </c>
      <c r="P12" s="183">
        <v>467</v>
      </c>
      <c r="Q12" s="183">
        <v>615</v>
      </c>
      <c r="R12" s="183">
        <v>1538</v>
      </c>
      <c r="S12" s="183">
        <v>992</v>
      </c>
      <c r="T12" s="183">
        <v>1179</v>
      </c>
      <c r="U12" s="183">
        <v>905</v>
      </c>
      <c r="V12" s="183">
        <v>1266</v>
      </c>
      <c r="W12" s="183">
        <v>323</v>
      </c>
      <c r="X12" s="189">
        <v>206</v>
      </c>
      <c r="Y12" s="191">
        <v>7</v>
      </c>
      <c r="Z12" s="181">
        <v>245</v>
      </c>
      <c r="AA12" s="181">
        <v>81</v>
      </c>
      <c r="AB12" s="181">
        <v>171</v>
      </c>
      <c r="AC12" s="183">
        <v>0</v>
      </c>
      <c r="AD12" s="183">
        <v>0</v>
      </c>
      <c r="AE12" s="183">
        <v>0</v>
      </c>
      <c r="AF12" s="189">
        <v>0</v>
      </c>
      <c r="AG12" s="202">
        <v>34</v>
      </c>
      <c r="AH12" s="183">
        <v>38</v>
      </c>
      <c r="AI12" s="183">
        <v>65</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1026</v>
      </c>
      <c r="AZ12" s="127">
        <f t="shared" si="1"/>
        <v>1217</v>
      </c>
      <c r="BA12" s="127">
        <f t="shared" si="1"/>
        <v>970</v>
      </c>
      <c r="BB12" s="127">
        <f t="shared" si="1"/>
        <v>1273</v>
      </c>
      <c r="BC12" s="125">
        <f>IF(ISNUMBER(X12),X12," - ")</f>
        <v>206</v>
      </c>
      <c r="BD12" s="126">
        <f t="shared" si="2"/>
        <v>0.79704190632703364</v>
      </c>
      <c r="BE12" s="127">
        <f t="shared" si="3"/>
        <v>1.3123711340206186</v>
      </c>
      <c r="BF12" s="127">
        <f t="shared" si="4"/>
        <v>0.21237113402061855</v>
      </c>
      <c r="BG12" s="196">
        <f t="shared" si="5"/>
        <v>2.3123711340206183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1274</v>
      </c>
      <c r="J13" s="184">
        <f t="shared" si="6"/>
        <v>1680</v>
      </c>
      <c r="K13" s="184">
        <f t="shared" si="6"/>
        <v>1666</v>
      </c>
      <c r="L13" s="184">
        <f t="shared" si="6"/>
        <v>1288</v>
      </c>
      <c r="M13" s="184">
        <f t="shared" si="6"/>
        <v>636</v>
      </c>
      <c r="N13" s="184">
        <f t="shared" si="6"/>
        <v>449</v>
      </c>
      <c r="O13" s="184">
        <f t="shared" si="6"/>
        <v>800</v>
      </c>
      <c r="P13" s="184">
        <f t="shared" si="6"/>
        <v>472</v>
      </c>
      <c r="Q13" s="184">
        <f t="shared" si="6"/>
        <v>615</v>
      </c>
      <c r="R13" s="184">
        <f t="shared" si="6"/>
        <v>1545</v>
      </c>
      <c r="S13" s="184">
        <f t="shared" si="6"/>
        <v>993</v>
      </c>
      <c r="T13" s="184">
        <f t="shared" si="6"/>
        <v>1201</v>
      </c>
      <c r="U13" s="184">
        <f t="shared" si="6"/>
        <v>920</v>
      </c>
      <c r="V13" s="184">
        <f t="shared" si="6"/>
        <v>1274</v>
      </c>
      <c r="W13" s="184">
        <f t="shared" si="6"/>
        <v>327</v>
      </c>
      <c r="X13" s="184">
        <f t="shared" si="6"/>
        <v>211</v>
      </c>
      <c r="Y13" s="184">
        <f t="shared" si="6"/>
        <v>7</v>
      </c>
      <c r="Z13" s="184">
        <f t="shared" si="6"/>
        <v>245</v>
      </c>
      <c r="AA13" s="184">
        <f t="shared" si="6"/>
        <v>81</v>
      </c>
      <c r="AB13" s="184">
        <f t="shared" si="6"/>
        <v>171</v>
      </c>
      <c r="AC13" s="184">
        <f t="shared" si="6"/>
        <v>0</v>
      </c>
      <c r="AD13" s="184">
        <f t="shared" si="6"/>
        <v>0</v>
      </c>
      <c r="AE13" s="184">
        <f t="shared" si="6"/>
        <v>0</v>
      </c>
      <c r="AF13" s="184">
        <f>SUBTOTAL(9,AF9:AF12)</f>
        <v>0</v>
      </c>
      <c r="AG13" s="184">
        <f t="shared" ref="AG13:AT13" si="7">SUBTOTAL(9,AG8:AG12)</f>
        <v>34</v>
      </c>
      <c r="AH13" s="184">
        <f t="shared" si="7"/>
        <v>38</v>
      </c>
      <c r="AI13" s="184">
        <f t="shared" si="7"/>
        <v>65</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1027</v>
      </c>
      <c r="AZ13" s="184">
        <f>SUBTOTAL(9,AZ8:AZ12)</f>
        <v>1239</v>
      </c>
      <c r="BA13" s="184">
        <f>SUBTOTAL(9,BA8:BA12)</f>
        <v>985</v>
      </c>
      <c r="BB13" s="184">
        <f>SUBTOTAL(9,BB8:BB12)</f>
        <v>1281</v>
      </c>
      <c r="BC13" s="184">
        <f>SUBTOTAL(9,BC8:BC12)</f>
        <v>210</v>
      </c>
      <c r="BD13" s="205">
        <f>IF(ISNUMBER(BA13/AZ13),BA13/AZ13," - ")</f>
        <v>0.79499596448748988</v>
      </c>
      <c r="BE13" s="206">
        <f>IF(ISNUMBER(BB13/BA13),BB13/BA13, " - ")</f>
        <v>1.3005076142131979</v>
      </c>
      <c r="BF13" s="206">
        <f>IF(ISNUMBER(BC13/BA13),BC13/BA13, " - ")</f>
        <v>0.21319796954314721</v>
      </c>
      <c r="BG13" s="207">
        <f>IF(ISNUMBER((AY13+AZ13)/BA13),(AY13+AZ13)/BA13," - ")</f>
        <v>2.3005076142131982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691</v>
      </c>
      <c r="J16" s="183">
        <v>1476</v>
      </c>
      <c r="K16" s="183">
        <v>1606</v>
      </c>
      <c r="L16" s="183">
        <v>584</v>
      </c>
      <c r="M16" s="183">
        <v>237</v>
      </c>
      <c r="N16" s="183">
        <v>1087</v>
      </c>
      <c r="O16" s="181">
        <v>19</v>
      </c>
      <c r="P16" s="183">
        <v>42</v>
      </c>
      <c r="Q16" s="183">
        <v>39</v>
      </c>
      <c r="R16" s="183">
        <v>65</v>
      </c>
      <c r="S16" s="183">
        <v>702</v>
      </c>
      <c r="T16" s="183">
        <v>1107</v>
      </c>
      <c r="U16" s="183">
        <v>1118</v>
      </c>
      <c r="V16" s="183">
        <v>691</v>
      </c>
      <c r="W16" s="183">
        <v>225</v>
      </c>
      <c r="X16" s="189">
        <v>747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702</v>
      </c>
      <c r="AZ16" s="127">
        <f t="shared" si="9"/>
        <v>1107</v>
      </c>
      <c r="BA16" s="127">
        <f t="shared" si="9"/>
        <v>1118</v>
      </c>
      <c r="BB16" s="127">
        <f t="shared" si="9"/>
        <v>691</v>
      </c>
      <c r="BC16" s="125">
        <f>IF(ISNUMBER(W16),W16," - ")</f>
        <v>225</v>
      </c>
      <c r="BD16" s="126">
        <f t="shared" ref="BD16" si="11">IF(ISNUMBER(BA16/AZ16),BA16/AZ16," - ")</f>
        <v>1.009936766034327</v>
      </c>
      <c r="BE16" s="127">
        <f t="shared" ref="BE16" si="12">IF(ISNUMBER(BB16/BA16),BB16/BA16, " - ")</f>
        <v>0.61806797853309481</v>
      </c>
      <c r="BF16" s="127">
        <f t="shared" ref="BF16" si="13">IF(ISNUMBER(BC16/BA16),BC16/BA16, " - ")</f>
        <v>0.20125223613595708</v>
      </c>
      <c r="BG16" s="196">
        <f t="shared" si="10"/>
        <v>1.6180679785330949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75</v>
      </c>
      <c r="K17" s="183">
        <v>69</v>
      </c>
      <c r="L17" s="183">
        <v>40</v>
      </c>
      <c r="M17" s="183">
        <v>9</v>
      </c>
      <c r="N17" s="183">
        <v>77</v>
      </c>
      <c r="O17" s="183">
        <v>0</v>
      </c>
      <c r="P17" s="183">
        <v>0</v>
      </c>
      <c r="Q17" s="183">
        <v>0</v>
      </c>
      <c r="R17" s="183">
        <v>0</v>
      </c>
      <c r="S17" s="183">
        <v>27</v>
      </c>
      <c r="T17" s="183">
        <v>91</v>
      </c>
      <c r="U17" s="183">
        <v>84</v>
      </c>
      <c r="V17" s="183">
        <v>34</v>
      </c>
      <c r="W17" s="183">
        <v>16</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91</v>
      </c>
      <c r="BA17" s="129">
        <f t="shared" si="14"/>
        <v>84</v>
      </c>
      <c r="BB17" s="129">
        <f t="shared" si="14"/>
        <v>34</v>
      </c>
      <c r="BC17" s="125">
        <f>IF(ISNUMBER(W17),W17," - ")</f>
        <v>16</v>
      </c>
      <c r="BD17" s="126">
        <f>IF(ISNUMBER(BA17/AZ17),BA17/AZ17," - ")</f>
        <v>0.92307692307692313</v>
      </c>
      <c r="BE17" s="127">
        <f>IF(ISNUMBER(BB17/BA17),BB17/BA17, " - ")</f>
        <v>0.40476190476190477</v>
      </c>
      <c r="BF17" s="127">
        <f>IF(ISNUMBER(BC17/BA17),BC17/BA17, " - ")</f>
        <v>0.19047619047619047</v>
      </c>
      <c r="BG17" s="196">
        <f>IF(ISNUMBER((AY17+AZ17)/BA17),(AY17+AZ17)/BA17," - ")</f>
        <v>1.4047619047619047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725</v>
      </c>
      <c r="J18" s="184">
        <f t="shared" si="15"/>
        <v>1551</v>
      </c>
      <c r="K18" s="184">
        <f t="shared" si="15"/>
        <v>1675</v>
      </c>
      <c r="L18" s="184">
        <f t="shared" si="15"/>
        <v>624</v>
      </c>
      <c r="M18" s="184">
        <f t="shared" si="15"/>
        <v>246</v>
      </c>
      <c r="N18" s="184">
        <f t="shared" si="15"/>
        <v>1164</v>
      </c>
      <c r="O18" s="184">
        <f t="shared" si="15"/>
        <v>19</v>
      </c>
      <c r="P18" s="184">
        <f t="shared" si="15"/>
        <v>42</v>
      </c>
      <c r="Q18" s="184">
        <f t="shared" si="15"/>
        <v>39</v>
      </c>
      <c r="R18" s="184">
        <f t="shared" si="15"/>
        <v>65</v>
      </c>
      <c r="S18" s="184">
        <f t="shared" si="15"/>
        <v>729</v>
      </c>
      <c r="T18" s="184">
        <f t="shared" si="15"/>
        <v>1198</v>
      </c>
      <c r="U18" s="184">
        <f t="shared" si="15"/>
        <v>1202</v>
      </c>
      <c r="V18" s="184">
        <f t="shared" si="15"/>
        <v>725</v>
      </c>
      <c r="W18" s="184">
        <f t="shared" si="15"/>
        <v>241</v>
      </c>
      <c r="X18" s="184">
        <f t="shared" si="15"/>
        <v>840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729</v>
      </c>
      <c r="AZ18" s="184">
        <f>SUBTOTAL(9,AZ14:AZ17)</f>
        <v>1198</v>
      </c>
      <c r="BA18" s="184">
        <f>SUBTOTAL(9,BA14:BA17)</f>
        <v>1202</v>
      </c>
      <c r="BB18" s="184">
        <f>SUBTOTAL(9,BB14:BB17)</f>
        <v>725</v>
      </c>
      <c r="BC18" s="184">
        <f>SUBTOTAL(9,BC14:BC17)</f>
        <v>241</v>
      </c>
      <c r="BD18" s="205">
        <f>IF(ISNUMBER(BA18/AZ18),BA18/AZ18," - ")</f>
        <v>1.003338898163606</v>
      </c>
      <c r="BE18" s="206">
        <f>IF(ISNUMBER(BB18/BA18),BB18/BA18, " - ")</f>
        <v>0.6031613976705491</v>
      </c>
      <c r="BF18" s="206">
        <f>IF(ISNUMBER(BC18/BA18),BC18/BA18, " - ")</f>
        <v>0.20049916805324458</v>
      </c>
      <c r="BG18" s="207">
        <f>IF(ISNUMBER((AY18+AZ18)/BA18),(AY18+AZ18)/BA18," - ")</f>
        <v>1.603161397670549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1999</v>
      </c>
      <c r="J19" s="134">
        <f t="shared" si="18"/>
        <v>3231</v>
      </c>
      <c r="K19" s="134">
        <f t="shared" si="18"/>
        <v>3341</v>
      </c>
      <c r="L19" s="134">
        <f t="shared" si="18"/>
        <v>1912</v>
      </c>
      <c r="M19" s="134">
        <f t="shared" si="18"/>
        <v>882</v>
      </c>
      <c r="N19" s="134">
        <f t="shared" si="18"/>
        <v>1613</v>
      </c>
      <c r="O19" s="134">
        <f t="shared" si="18"/>
        <v>819</v>
      </c>
      <c r="P19" s="134">
        <f t="shared" si="18"/>
        <v>514</v>
      </c>
      <c r="Q19" s="134">
        <f t="shared" si="18"/>
        <v>654</v>
      </c>
      <c r="R19" s="134">
        <f t="shared" si="18"/>
        <v>1610</v>
      </c>
      <c r="S19" s="134">
        <f t="shared" si="18"/>
        <v>1722</v>
      </c>
      <c r="T19" s="134">
        <f t="shared" si="18"/>
        <v>2399</v>
      </c>
      <c r="U19" s="134">
        <f t="shared" si="18"/>
        <v>2122</v>
      </c>
      <c r="V19" s="134">
        <f t="shared" si="18"/>
        <v>1999</v>
      </c>
      <c r="W19" s="134">
        <f t="shared" si="18"/>
        <v>568</v>
      </c>
      <c r="X19" s="134">
        <f t="shared" si="18"/>
        <v>1051</v>
      </c>
      <c r="Y19" s="134">
        <f t="shared" si="18"/>
        <v>7</v>
      </c>
      <c r="Z19" s="134">
        <f t="shared" si="18"/>
        <v>245</v>
      </c>
      <c r="AA19" s="134">
        <f t="shared" si="18"/>
        <v>81</v>
      </c>
      <c r="AB19" s="134">
        <f t="shared" si="18"/>
        <v>171</v>
      </c>
      <c r="AC19" s="134">
        <f t="shared" si="18"/>
        <v>0</v>
      </c>
      <c r="AD19" s="134">
        <f t="shared" si="18"/>
        <v>1</v>
      </c>
      <c r="AE19" s="134">
        <f t="shared" si="18"/>
        <v>1</v>
      </c>
      <c r="AF19" s="134">
        <f t="shared" si="18"/>
        <v>0</v>
      </c>
      <c r="AG19" s="134">
        <f t="shared" si="18"/>
        <v>34</v>
      </c>
      <c r="AH19" s="134">
        <f t="shared" si="18"/>
        <v>38</v>
      </c>
      <c r="AI19" s="134">
        <f t="shared" si="18"/>
        <v>65</v>
      </c>
      <c r="AJ19" s="134">
        <f t="shared" si="18"/>
        <v>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1756</v>
      </c>
      <c r="AZ19" s="134">
        <f>SUBTOTAL(9,AZ9:AZ18)</f>
        <v>2437</v>
      </c>
      <c r="BA19" s="134">
        <f>SUBTOTAL(9,BA9:BA18)</f>
        <v>2187</v>
      </c>
      <c r="BB19" s="134">
        <f>SUBTOTAL(9,BB9:BB18)</f>
        <v>2006</v>
      </c>
      <c r="BC19" s="135">
        <f>SUBTOTAL(9,BC9:BC18)</f>
        <v>451</v>
      </c>
      <c r="BD19" s="213">
        <f>IF(ISNUMBER(BA19/AZ19),BA19/AZ19," - ")</f>
        <v>0.89741485432909318</v>
      </c>
      <c r="BE19" s="210">
        <f>IF(ISNUMBER(BB19/BA19),BB19/BA19, " - ")</f>
        <v>0.91723822588020121</v>
      </c>
      <c r="BF19" s="210">
        <f>IF(ISNUMBER(BC19/BA19),BC19/BA19, " - ")</f>
        <v>0.2062185642432556</v>
      </c>
      <c r="BG19" s="135">
        <f>IF(ISNUMBER((AY19+AZ19)/BA19),(AY19+AZ19)/BA19," - ")</f>
        <v>1.9172382258802012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vwjRB+NZB9EEOmA4x6MOxVfD9pkKywgKSzf1pngcd9bz+qPC0jdXfobZcCFVN7Kn0sfK/lS3t/lTquxoM++UA==" saltValue="lB1+hjf+x1qC//SWqXhQ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zmx7oJwiab8aVbKjavPF3dSVdMyhIg/GYsiZtjiFpEm62INrAPEigTHxrAHnvfakstNJfi8hO8ye6i9/F1/g==" saltValue="pUkGXe2yaePjbuZGjlZq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0</v>
      </c>
      <c r="AD10" s="334"/>
      <c r="AE10" s="484"/>
      <c r="AF10" s="332">
        <f>IF(ISNUMBER(Datos!L10),Datos!L10,"-")</f>
        <v>12</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2</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245</v>
      </c>
      <c r="O12" s="334"/>
      <c r="P12" s="334"/>
      <c r="Q12" s="226">
        <f>IF(ISNUMBER(Datos!P12),Datos!P12,0)</f>
        <v>467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171</v>
      </c>
      <c r="AI12" s="334" t="str">
        <f>IF(ISNUMBER(Datos!CD12),Datos!CD12,"-")</f>
        <v>-</v>
      </c>
      <c r="AJ12" s="334" t="str">
        <f>IF(ISNUMBER(Datos!EN12),Datos!EN12," - ")</f>
        <v xml:space="preserve"> - </v>
      </c>
      <c r="AK12" s="334"/>
      <c r="AL12" s="479"/>
      <c r="AM12" s="335">
        <f>IF(ISNUMBER(Datos!R12),Datos!R12," - ")</f>
        <v>1538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620</v>
      </c>
      <c r="BD12" s="229">
        <f>IF(ISNUMBER(Datos!N12),Datos!N12," - ")</f>
        <v>447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0.90827622561939902</v>
      </c>
      <c r="BH12" s="260">
        <f>IF(ISNUMBER(((IF(J_V="SI",Datos!L12/Datos!K12,(Datos!L12+Datos!AB12)/(Datos!K12+Datos!AA12)))*11)/factor_trimestre),((IF(J_V="SI",Datos!L12/Datos!K12,(Datos!L12+Datos!AB12)/(Datos!K12+Datos!AA12)))*11)/factor_trimestre," - ")</f>
        <v>9.2379570516540923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-8.7781731909845784E-2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245</v>
      </c>
      <c r="O13" s="900">
        <f t="shared" si="0"/>
        <v>0</v>
      </c>
      <c r="P13" s="900">
        <f t="shared" si="0"/>
        <v>0</v>
      </c>
      <c r="Q13" s="899">
        <f t="shared" si="0"/>
        <v>472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615</v>
      </c>
      <c r="AD13" s="899">
        <f t="shared" si="1"/>
        <v>0</v>
      </c>
      <c r="AE13" s="899">
        <f t="shared" si="1"/>
        <v>0</v>
      </c>
      <c r="AF13" s="899">
        <f t="shared" si="1"/>
        <v>12</v>
      </c>
      <c r="AG13" s="899">
        <f t="shared" si="1"/>
        <v>0</v>
      </c>
      <c r="AH13" s="899">
        <f t="shared" si="1"/>
        <v>171</v>
      </c>
      <c r="AI13" s="899">
        <f t="shared" si="1"/>
        <v>0</v>
      </c>
      <c r="AJ13" s="899">
        <f t="shared" si="1"/>
        <v>0</v>
      </c>
      <c r="AK13" s="899">
        <f t="shared" si="1"/>
        <v>0</v>
      </c>
      <c r="AL13" s="899">
        <f t="shared" si="1"/>
        <v>0</v>
      </c>
      <c r="AM13" s="899">
        <f t="shared" si="1"/>
        <v>1545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636</v>
      </c>
      <c r="BD13" s="899">
        <f t="shared" si="1"/>
        <v>449</v>
      </c>
      <c r="BE13" s="899">
        <f t="shared" si="1"/>
        <v>0</v>
      </c>
      <c r="BF13" s="899">
        <f t="shared" si="1"/>
        <v>0</v>
      </c>
      <c r="BG13" s="899">
        <f>IF(ISNUMBER(Datos!K13/Datos!J13),Datos!K13/Datos!J13," - ")</f>
        <v>0.9916666666666667</v>
      </c>
      <c r="BH13" s="903">
        <f>IF(ISNUMBER(((Datos!L13/Datos!K13)*11)/factor_trimestre),((Datos!L13/Datos!K13)*11)/factor_trimestre," - ")</f>
        <v>8.5042016806722689</v>
      </c>
      <c r="BI13" s="899">
        <f>IF(ISNUMBER('Resol  Asuntos'!D13/NºAsuntos!G13),'Resol  Asuntos'!D13/NºAsuntos!G13," - ")</f>
        <v>0.36405266170578132</v>
      </c>
      <c r="BJ13" s="899" t="str">
        <f>IF(ISNUMBER(Datos!CI13/Datos!CJ13),Datos!CI13/Datos!CJ13," - ")</f>
        <v xml:space="preserve"> - </v>
      </c>
      <c r="BK13" s="899">
        <f>SUBTOTAL(9,BK8:BK12)</f>
        <v>0</v>
      </c>
      <c r="BL13" s="899">
        <f>IF(ISNUMBER((I13-AB13+L13)/(F13)),(I13-AB13+L13)/(F13)," - ")</f>
        <v>-3</v>
      </c>
      <c r="BM13" s="904">
        <f>SUBTOTAL(9,BM9:BM12)</f>
        <v>2.4122182680901543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714</v>
      </c>
      <c r="G16" s="598">
        <f>IF(ISNUMBER(IF(D_I="SI",Datos!I16,Datos!I16+Datos!AC16)),IF(D_I="SI",Datos!I16,Datos!I16+Datos!AC16)," - ")</f>
        <v>691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1606</v>
      </c>
      <c r="AC16" s="226">
        <f>IF(ISNUMBER(Datos!Q16),Datos!Q16," - ")</f>
        <v>39</v>
      </c>
      <c r="AD16" s="334"/>
      <c r="AE16" s="484"/>
      <c r="AF16" s="596">
        <f>IF(ISNUMBER(IF(D_I="SI",Datos!L16,Datos!L16+Datos!AF16)),IF(D_I="SI",Datos!L16,Datos!L16+Datos!AF16)," - ")</f>
        <v>584</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237</v>
      </c>
      <c r="BD16" s="229">
        <f>IF(ISNUMBER(Datos!N16),Datos!N16," - ")</f>
        <v>1087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1.0880758807588076</v>
      </c>
      <c r="BH16" s="260">
        <f>IF(ISNUMBER(((IF(D_I="SI",Datos!L16/Datos!K16,(Datos!L16+Datos!AF16)/(Datos!K16+Datos!AE16)))*11)/factor_trimestre),((IF(D_I="SI",Datos!L16/Datos!K16,(Datos!L16+Datos!AF16)/(Datos!K16+Datos!AE16)))*11)/factor_trimestre," - ")</f>
        <v>4</v>
      </c>
      <c r="BI16" s="243">
        <f>IF(ISNUMBER('Resol  Asuntos'!D16/NºAsuntos!G16),'Resol  Asuntos'!D16/NºAsuntos!G16," - ")</f>
        <v>0.14757160647571607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69</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v>
      </c>
      <c r="BH17" s="260">
        <f>IF(ISNUMBER(((IF(D_I="SI",Datos!L17/Datos!K17,(Datos!L17+Datos!AF17)/(Datos!K17+Datos!AE17)))*11)/factor_trimestre),((IF(D_I="SI",Datos!L17/Datos!K17,(Datos!L17+Datos!AF17)/(Datos!K17+Datos!AE17)))*11)/factor_trimestre," - ")</f>
        <v>6.3768115942028984</v>
      </c>
      <c r="BI17" s="243">
        <f>IF(ISNUMBER('Resol  Asuntos'!D17/NºAsuntos!G17),'Resol  Asuntos'!D17/NºAsuntos!G17," - ")</f>
        <v>0.13043478260869565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714</v>
      </c>
      <c r="G18" s="898">
        <f>SUBTOTAL(9,G15:G17)</f>
        <v>725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1675</v>
      </c>
      <c r="AC18" s="899">
        <f t="shared" si="4"/>
        <v>39</v>
      </c>
      <c r="AD18" s="899">
        <f t="shared" si="4"/>
        <v>0</v>
      </c>
      <c r="AE18" s="899">
        <f t="shared" si="4"/>
        <v>0</v>
      </c>
      <c r="AF18" s="899">
        <f t="shared" si="4"/>
        <v>624</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246</v>
      </c>
      <c r="BD18" s="899">
        <f t="shared" si="4"/>
        <v>1164</v>
      </c>
      <c r="BE18" s="899">
        <f t="shared" si="4"/>
        <v>0</v>
      </c>
      <c r="BF18" s="899">
        <f t="shared" si="4"/>
        <v>0</v>
      </c>
      <c r="BG18" s="899">
        <f>IF(ISNUMBER(Datos!K18/Datos!J18),Datos!K18/Datos!J18," - ")</f>
        <v>1.0799484203739522</v>
      </c>
      <c r="BH18" s="903">
        <f>IF(ISNUMBER(((Datos!L18/Datos!K18)*11)/factor_trimestre),((Datos!L18/Datos!K18)*11)/factor_trimestre," - ")</f>
        <v>4.0979104477611941</v>
      </c>
      <c r="BI18" s="899">
        <f>SUBTOTAL(9,BI15:BI17)</f>
        <v>0.27800638908441172</v>
      </c>
      <c r="BJ18" s="899">
        <f>SUBTOTAL(9,BJ15:BJ17)</f>
        <v>0</v>
      </c>
      <c r="BK18" s="899">
        <f>SUBTOTAL(9,BK15:BK17)</f>
        <v>0</v>
      </c>
      <c r="BL18" s="899">
        <f>IF(ISNUMBER((I18-AB18+L18)/(F18)),(I18-AB18+L18)/(F18)," - ")</f>
        <v>-2.3459383753501402</v>
      </c>
      <c r="BM18" s="905">
        <f>IF(ISNUMBER((Datos!P18-Datos!Q18)/(Datos!R18-Datos!P18+Datos!Q18)),(Datos!P18-Datos!Q18)/(Datos!R18-Datos!P18+Datos!Q18)," - ")</f>
        <v>4.8387096774193547E-2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722</v>
      </c>
      <c r="G19" s="820">
        <f t="shared" si="6"/>
        <v>733</v>
      </c>
      <c r="H19" s="822">
        <f t="shared" si="6"/>
        <v>0</v>
      </c>
      <c r="I19" s="820">
        <f t="shared" si="6"/>
        <v>0</v>
      </c>
      <c r="J19" s="822">
        <f t="shared" si="6"/>
        <v>0</v>
      </c>
      <c r="K19" s="822">
        <f t="shared" si="6"/>
        <v>0</v>
      </c>
      <c r="L19" s="881">
        <f t="shared" si="6"/>
        <v>0</v>
      </c>
      <c r="M19" s="881">
        <f t="shared" si="6"/>
        <v>0</v>
      </c>
      <c r="N19" s="881">
        <f t="shared" si="6"/>
        <v>245</v>
      </c>
      <c r="O19" s="881">
        <f t="shared" si="6"/>
        <v>0</v>
      </c>
      <c r="P19" s="881">
        <f t="shared" si="6"/>
        <v>0</v>
      </c>
      <c r="Q19" s="822">
        <f t="shared" si="6"/>
        <v>514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1699</v>
      </c>
      <c r="AC19" s="821">
        <f t="shared" si="7"/>
        <v>654</v>
      </c>
      <c r="AD19" s="821">
        <f t="shared" si="7"/>
        <v>0</v>
      </c>
      <c r="AE19" s="821">
        <f t="shared" si="7"/>
        <v>0</v>
      </c>
      <c r="AF19" s="828">
        <f t="shared" si="7"/>
        <v>636</v>
      </c>
      <c r="AG19" s="828">
        <f t="shared" si="7"/>
        <v>0</v>
      </c>
      <c r="AH19" s="828">
        <f t="shared" si="7"/>
        <v>171</v>
      </c>
      <c r="AI19" s="828">
        <f t="shared" si="7"/>
        <v>0</v>
      </c>
      <c r="AJ19" s="821">
        <f t="shared" si="7"/>
        <v>0</v>
      </c>
      <c r="AK19" s="828">
        <f t="shared" si="7"/>
        <v>0</v>
      </c>
      <c r="AL19" s="828">
        <f t="shared" si="7"/>
        <v>0</v>
      </c>
      <c r="AM19" s="828">
        <f t="shared" si="7"/>
        <v>1610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882</v>
      </c>
      <c r="BD19" s="820">
        <f t="shared" si="7"/>
        <v>1613</v>
      </c>
      <c r="BE19" s="820">
        <f t="shared" si="7"/>
        <v>0</v>
      </c>
      <c r="BF19" s="830">
        <f t="shared" si="7"/>
        <v>0</v>
      </c>
      <c r="BG19" s="915">
        <f>IF(ISNUMBER(Datos!K19/Datos!J19),Datos!K19/Datos!J19," - ")</f>
        <v>1.0340451872485299</v>
      </c>
      <c r="BH19" s="915">
        <f>IF(ISNUMBER(((Datos!L19/Datos!K19)*11)/factor_trimestre),((Datos!L19/Datos!K19)*11)/factor_trimestre," - ")</f>
        <v>6.2951212211912599</v>
      </c>
      <c r="BI19" s="813">
        <f>IF(ISNUMBER(Datos!J19/Datos!I19),Datos!J19/Datos!I19," - ")</f>
        <v>1.6163081540770385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-2.3531855955678669</v>
      </c>
      <c r="BM19" s="889">
        <f>IF(ISNUMBER((Datos!P19-Datos!Q19+R19)/(Datos!R19-Datos!P19+Datos!Q19-R19)),(Datos!P19-Datos!Q19+R19)/(Datos!R19-Datos!P19+Datos!Q19-R19)," - ")</f>
        <v>-0.08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407.60929004787579</v>
      </c>
      <c r="G21" s="552">
        <f>IF(ISNUMBER(STDEV(G8:G18)),STDEV(G8:G18),"-")</f>
        <v>378.99828495654174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877.70912038100641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278.31708535409751</v>
      </c>
      <c r="BD21" s="551"/>
      <c r="BE21" s="551">
        <f>IF(ISNUMBER(STDEV(BE8:BE18)),STDEV(BE8:BE18),"-")</f>
        <v>0</v>
      </c>
      <c r="BF21" s="556">
        <f>IF(ISNUMBER(STDEV(BF8:BF18)),STDEV(BF8:BF18),"-")</f>
        <v>0</v>
      </c>
      <c r="BG21" s="775">
        <f>IF(ISNUMBER(STDEV(BG8:BG18)),STDEV(BG8:BG18),"-")</f>
        <v>9.5332561539699628E-2</v>
      </c>
      <c r="BH21" s="776">
        <f>IF(ISNUMBER(STDEV(BH8:BH18)),STDEV(BH8:BH18),"-")</f>
        <v>2.2033630493367187</v>
      </c>
      <c r="BI21" s="249">
        <f>IF(ISNUMBER(STDEV(BI8:BI18)),STDEV(BI8:BI18),"-")</f>
        <v>0.11102912681800529</v>
      </c>
      <c r="BJ21" s="230" t="str">
        <f>IF(ISNUMBER(BL21/BM21),BL21/BM21," - ")</f>
        <v xml:space="preserve"> - </v>
      </c>
      <c r="BK21" s="575"/>
      <c r="BL21" s="559">
        <f>IF(ISNUMBER(STDEV(BL8:BL18)),STDEV(BL8:BL18),"-")</f>
        <v>0.46249141010380235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cRTD/14oPo47vcQ87WvZ3TMc4aDCxzE1ptxtW1n7fZSlLaJk3n822OBLzi8IaNoEV7Qs6h0ZPDEaPRD9K8UmQ==" saltValue="VNtlIdJ45uqTg74V4sy2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BENAVENTE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0</v>
      </c>
      <c r="AA10" s="332">
        <f>IF(ISNUMBER(Datos!L10),Datos!L10,"-")</f>
        <v>12</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16</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615</v>
      </c>
      <c r="AA12" s="332" t="str">
        <f>IF(ISNUMBER(IF(J_V="SI",Datos!L12,Datos!L12+Datos!AB12)-IF(Monitorios="SI",Datos!CD12,0)),
                          IF(J_V="SI",Datos!L12,Datos!L12+Datos!AB12)-IF(Monitorios="SI",Datos!CD12,0),
                          " - ")</f>
        <v xml:space="preserve"> - </v>
      </c>
      <c r="AB12" s="334"/>
      <c r="AC12" s="334"/>
      <c r="AD12" s="484"/>
      <c r="AE12" s="484">
        <f>IF(ISNUMBER(Datos!R12),Datos!R12," - ")</f>
        <v>1538</v>
      </c>
      <c r="AF12" s="229" t="str">
        <f>IF(ISNUMBER(Datos!BV12),Datos!BV12," - ")</f>
        <v xml:space="preserve"> - </v>
      </c>
      <c r="AG12" s="225" t="str">
        <f>IF(ISNUMBER(Datos!DV12),Datos!DV12," - ")</f>
        <v xml:space="preserve"> - </v>
      </c>
      <c r="AH12" s="298"/>
      <c r="AI12" s="227"/>
      <c r="AJ12" s="225">
        <f>IF(ISNUMBER(Datos!M12),Datos!M12," - ")</f>
        <v>620</v>
      </c>
      <c r="AK12" s="229">
        <f>IF(ISNUMBER(Datos!N12),Datos!N12," - ")</f>
        <v>447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9.2379570516540923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-8.7781731909845784E-2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472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615</v>
      </c>
      <c r="AA13" s="900">
        <f t="shared" si="2"/>
        <v>12</v>
      </c>
      <c r="AB13" s="900">
        <f t="shared" si="2"/>
        <v>0</v>
      </c>
      <c r="AC13" s="900">
        <f t="shared" si="2"/>
        <v>0</v>
      </c>
      <c r="AD13" s="900">
        <f t="shared" si="2"/>
        <v>0</v>
      </c>
      <c r="AE13" s="900">
        <f t="shared" si="2"/>
        <v>1545</v>
      </c>
      <c r="AF13" s="908">
        <f t="shared" si="2"/>
        <v>0</v>
      </c>
      <c r="AG13" s="908">
        <f t="shared" si="2"/>
        <v>0</v>
      </c>
      <c r="AH13" s="908">
        <f t="shared" si="2"/>
        <v>0</v>
      </c>
      <c r="AI13" s="908">
        <f t="shared" si="2"/>
        <v>0</v>
      </c>
      <c r="AJ13" s="908">
        <f t="shared" si="2"/>
        <v>636</v>
      </c>
      <c r="AK13" s="908">
        <f t="shared" si="2"/>
        <v>449</v>
      </c>
      <c r="AL13" s="908">
        <f t="shared" si="2"/>
        <v>0</v>
      </c>
      <c r="AM13" s="908">
        <f t="shared" si="2"/>
        <v>0</v>
      </c>
      <c r="AN13" s="908">
        <f t="shared" si="2"/>
        <v>0</v>
      </c>
      <c r="AO13" s="904">
        <f>IF(ISNUMBER(((NºAsuntos!I13/NºAsuntos!G13)*11)/factor_trimestre),((NºAsuntos!I13/NºAsuntos!G13)*11)/factor_trimestre," - ")</f>
        <v>9.1866056096164854</v>
      </c>
      <c r="AP13" s="910" t="str">
        <f>IF(ISNUMBER(Datos!CI13/Datos!CJ13),Datos!CI13/Datos!CJ13," - ")</f>
        <v xml:space="preserve"> - </v>
      </c>
      <c r="AQ13" s="928">
        <f t="shared" ref="AQ13:AV13" si="3">SUBTOTAL(9,AQ9:AQ12)</f>
        <v>0</v>
      </c>
      <c r="AR13" s="928">
        <f t="shared" si="3"/>
        <v>2.4122182680901543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714</v>
      </c>
      <c r="G16" s="225">
        <f>IF(ISNUMBER(IF(D_I="SI",Datos!I16,Datos!I16+Datos!AC16)),IF(D_I="SI",Datos!I16,Datos!I16+Datos!AC16)," - ")</f>
        <v>691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1606</v>
      </c>
      <c r="Z16" s="619">
        <f>IF(ISNUMBER(Datos!Q16),Datos!Q16," - ")</f>
        <v>39</v>
      </c>
      <c r="AA16" s="332">
        <f>IF(ISNUMBER(IF(D_I="SI",Datos!L16,Datos!L16+Datos!AF16)),IF(D_I="SI",Datos!L16,Datos!L16+Datos!AF16)," - ")</f>
        <v>584</v>
      </c>
      <c r="AB16" s="334"/>
      <c r="AC16" s="334"/>
      <c r="AD16" s="484"/>
      <c r="AE16" s="484">
        <f>IF(ISNUMBER(Datos!R16),Datos!R16," - ")</f>
        <v>65</v>
      </c>
      <c r="AF16" s="229" t="str">
        <f>IF(ISNUMBER(Datos!BV16),Datos!BV16," - ")</f>
        <v xml:space="preserve"> - </v>
      </c>
      <c r="AG16" s="225"/>
      <c r="AH16" s="298"/>
      <c r="AI16" s="227"/>
      <c r="AJ16" s="225">
        <f>IF(ISNUMBER(Datos!M16),Datos!M16," - ")</f>
        <v>237</v>
      </c>
      <c r="AK16" s="229">
        <f>IF(ISNUMBER(Datos!N16),Datos!N16," - ")</f>
        <v>1087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69</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6.3768115942028984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714</v>
      </c>
      <c r="G18" s="898">
        <f>SUBTOTAL(9,G15:G17)</f>
        <v>725</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1675</v>
      </c>
      <c r="Z18" s="932">
        <f t="shared" si="5"/>
        <v>39</v>
      </c>
      <c r="AA18" s="932">
        <f t="shared" si="5"/>
        <v>624</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246</v>
      </c>
      <c r="AK18" s="932">
        <f t="shared" si="5"/>
        <v>1164</v>
      </c>
      <c r="AL18" s="932">
        <f t="shared" si="5"/>
        <v>0</v>
      </c>
      <c r="AM18" s="932">
        <f t="shared" si="5"/>
        <v>0</v>
      </c>
      <c r="AN18" s="932">
        <f t="shared" si="5"/>
        <v>0</v>
      </c>
      <c r="AO18" s="934">
        <f>IF(ISNUMBER(((NºAsuntos!I18/NºAsuntos!G18)*11)/factor_trimestre),((NºAsuntos!I18/NºAsuntos!G18)*11)/factor_trimestre," - ")</f>
        <v>4.0979104477611941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722</v>
      </c>
      <c r="G19" s="820">
        <f t="shared" si="7"/>
        <v>733</v>
      </c>
      <c r="H19" s="821">
        <f t="shared" si="7"/>
        <v>0</v>
      </c>
      <c r="I19" s="820">
        <f t="shared" si="7"/>
        <v>0</v>
      </c>
      <c r="J19" s="822">
        <f t="shared" si="7"/>
        <v>0</v>
      </c>
      <c r="K19" s="820">
        <f t="shared" si="7"/>
        <v>0</v>
      </c>
      <c r="L19" s="823">
        <f t="shared" si="7"/>
        <v>0</v>
      </c>
      <c r="M19" s="820">
        <f t="shared" si="7"/>
        <v>0</v>
      </c>
      <c r="N19" s="821">
        <f t="shared" si="7"/>
        <v>514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1699</v>
      </c>
      <c r="Z19" s="827">
        <f t="shared" si="8"/>
        <v>654</v>
      </c>
      <c r="AA19" s="828">
        <f t="shared" si="8"/>
        <v>636</v>
      </c>
      <c r="AB19" s="828">
        <f t="shared" si="8"/>
        <v>0</v>
      </c>
      <c r="AC19" s="828">
        <f t="shared" si="8"/>
        <v>0</v>
      </c>
      <c r="AD19" s="829">
        <f t="shared" si="8"/>
        <v>0</v>
      </c>
      <c r="AE19" s="829">
        <f t="shared" si="8"/>
        <v>1610</v>
      </c>
      <c r="AF19" s="830">
        <f t="shared" si="8"/>
        <v>0</v>
      </c>
      <c r="AG19" s="831">
        <f t="shared" si="8"/>
        <v>0</v>
      </c>
      <c r="AH19" s="832">
        <f t="shared" si="8"/>
        <v>0</v>
      </c>
      <c r="AI19" s="830">
        <f t="shared" si="8"/>
        <v>0</v>
      </c>
      <c r="AJ19" s="820">
        <f t="shared" si="8"/>
        <v>882</v>
      </c>
      <c r="AK19" s="820">
        <f t="shared" si="8"/>
        <v>1613</v>
      </c>
      <c r="AL19" s="820">
        <f t="shared" si="8"/>
        <v>0</v>
      </c>
      <c r="AM19" s="833">
        <f t="shared" si="8"/>
        <v>0</v>
      </c>
      <c r="AN19" s="823">
        <f>IF(ISNUMBER(Datos!K19/Datos!J19),Datos!K19/Datos!J19," - ")</f>
        <v>1.0340451872485299</v>
      </c>
      <c r="AO19" s="823">
        <f>IF(ISNUMBER(FIND("06",Criterios!A8,1)),(IF(ISNUMBER(((Datos!R19/Datos!Q19)*11)/factor_trimestre),((Datos!R19/Datos!Q19)*11)/factor_trimestre," - ")),(IF(ISNUMBER(((Datos!L19/Datos!K19)*11)/factor_trimestre),((Datos!L19/Datos!K19)*11)/factor_trimestre," - ")))</f>
        <v>6.2951212211912599</v>
      </c>
      <c r="AP19" s="834" t="str">
        <f>IF(ISNUMBER(Datos!CI19/Datos!CJ19),Datos!CI19/Datos!CJ19," - ")</f>
        <v xml:space="preserve"> - </v>
      </c>
      <c r="AQ19" s="834">
        <f>IF(OR(ISNUMBER(FIND("01",Criterios!A8,1)),ISNUMBER(FIND("02",Criterios!A8,1)),ISNUMBER(FIND("03",Criterios!A8,1)),ISNUMBER(FIND("04",Criterios!A8,1))),(J19-Y19+K19)/(F19-K19),(I19-Y19+K19)/(F19-K19))</f>
        <v>-2.3531855955678669</v>
      </c>
      <c r="AR19" s="834">
        <f>IF(ISNUMBER((Datos!P19-Datos!Q19+O19)/(Datos!R19-Datos!P19+Datos!Q19-O19)),(Datos!P19-Datos!Q19+O19)/(Datos!R19-Datos!P19+Datos!Q19-O19)," - ")</f>
        <v>-0.08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407.60929004787579</v>
      </c>
      <c r="G21" s="552">
        <f>IF(ISNUMBER(STDEV(G8:G18)),STDEV(G8:G18),"-")</f>
        <v>378.99828495654174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278.31708535409751</v>
      </c>
      <c r="AK21" s="252"/>
      <c r="AL21" s="252">
        <f>IF(ISNUMBER(STDEV(AL8:AL18)),STDEV(AL8:AL18),"-")</f>
        <v>0</v>
      </c>
      <c r="AM21" s="254">
        <f>IF(ISNUMBER(STDEV(AM8:AM18)),STDEV(AM8:AM18),"-")</f>
        <v>0</v>
      </c>
      <c r="AN21" s="539">
        <f>IF(ISNUMBER(STDEV(AN8:AN18)),STDEV(AN8:AN18),"-")</f>
        <v>0</v>
      </c>
      <c r="AO21" s="540">
        <f>IF(ISNUMBER(STDEV(AO8:AO18)),STDEV(AO8:AO18),"-")</f>
        <v>2.3532668770878842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YY8nXyBYTku1DT3cKXVXtwrOe1rUufedD/G2Icyn18LEPJqPdrQ4QAgPdt3/TJmnpAqECDj6f7vUdefB5R9YA==" saltValue="jFpexb4hb3cYzK2g8YV/6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QuW0dbclLJlwEicFULKZUIJzMjEcYjSfsJK4QTmD06Umu41jY+J+5ix0xE6hQpR7sGlJhYCuhYAxssFXaLQ2w==" saltValue="YDGajdLnoIFsitBEexo8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3WPHd1ApUXqx4yF/l5z0QsVqmiGD+utl5AinD/o8rGGanQ54vS4cU6hkW16tl0Fv9WzfdikYGobA++dqpfgw==" saltValue="p8le/V8JpVedL9TITHO4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0.36405266170578132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0.25742410580117009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V2BshTiGJMX6P1Ena/WJllb6MyaTE5FEbnvyE3kBl2D6K6bfuPEHHP6o2aAcVKshMpLuIavjqXCEtbA2HTNUA==" saltValue="lwFN+OLyjCGc7S1gG9XK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DDWIawMRPUtk+fCuO+vVjOPXsk8yK0z9vduaXsYqfqVoE3lFfSz1W4LdOG3bWLaGI5UOo6EDuYrVv7E2aZDvA==" saltValue="3N/R8epYvIwAFKqG3mKd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BENAVENTE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28</v>
      </c>
      <c r="F10" s="404">
        <f>IF(ISNUMBER(E10/B10),E10/B10," - ")</f>
        <v>28</v>
      </c>
      <c r="G10" s="403">
        <f>IF(ISNUMBER(Datos!K10),Datos!K10," - ")</f>
        <v>24</v>
      </c>
      <c r="H10" s="404">
        <f>IF(ISNUMBER(G10/B10),G10/B10," - ")</f>
        <v>24</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1273</v>
      </c>
      <c r="D12" s="404">
        <f>IF(ISNUMBER(C12/Datos!BH12),C12/Datos!BH12," - ")</f>
        <v>636.5</v>
      </c>
      <c r="E12" s="403">
        <f>IF(ISNUMBER(IF(J_V="SI",Datos!J12,Datos!J12+Datos!Z12)),IF(J_V="SI",Datos!J12,Datos!J12+Datos!Z12)," - ")</f>
        <v>1897</v>
      </c>
      <c r="F12" s="404">
        <f>IF(ISNUMBER(E12/B12),E12/B12," - ")</f>
        <v>948.5</v>
      </c>
      <c r="G12" s="403">
        <f>IF(ISNUMBER(IF(J_V="SI",Datos!K12,Datos!K12+Datos!AA12)),IF(J_V="SI",Datos!K12,Datos!K12+Datos!AA12)," - ")</f>
        <v>1723</v>
      </c>
      <c r="H12" s="404">
        <f>IF(ISNUMBER(G12/B12),G12/B12," - ")</f>
        <v>861.5</v>
      </c>
      <c r="I12" s="403">
        <f>IF(ISNUMBER(IF(J_V="SI",Datos!L12,Datos!L12+Datos!AB12)),IF(J_V="SI",Datos!L12,Datos!L12+Datos!AB12)," - ")</f>
        <v>1447</v>
      </c>
      <c r="J12" s="404">
        <f>IF(ISNUMBER(I12/B12),I12/B12," - ")</f>
        <v>723.5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1281</v>
      </c>
      <c r="D13" s="850" t="str">
        <f>IF(ISNUMBER(C13/Datos!BI13),C13/Datos!BI13," - ")</f>
        <v xml:space="preserve"> - </v>
      </c>
      <c r="E13" s="849">
        <f>SUBTOTAL(9,E8:E12)</f>
        <v>1925</v>
      </c>
      <c r="F13" s="850">
        <f>IF(ISNUMBER(E13/B13),E13/B13," - ")</f>
        <v>962.5</v>
      </c>
      <c r="G13" s="849">
        <f>SUBTOTAL(9,G8:G12)</f>
        <v>1747</v>
      </c>
      <c r="H13" s="850">
        <f>IF(ISNUMBER(G13/B13),G13/B13," - ")</f>
        <v>873.5</v>
      </c>
      <c r="I13" s="849">
        <f>SUBTOTAL(9,I8:I12)</f>
        <v>1459</v>
      </c>
      <c r="J13" s="850">
        <f>IF(ISNUMBER(I13/B13),I13/B13," - ")</f>
        <v>729.5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691</v>
      </c>
      <c r="D16" s="404">
        <f>IF(ISNUMBER(C16/Datos!BH16),C16/Datos!BH16," - ")</f>
        <v>345.5</v>
      </c>
      <c r="E16" s="403">
        <f>IF(ISNUMBER(IF(D_I="SI",Datos!J16,Datos!J16+Datos!AD16)),IF(D_I="SI",Datos!J16,Datos!J16+Datos!AD16)," - ")</f>
        <v>1476</v>
      </c>
      <c r="F16" s="404">
        <f>IF(ISNUMBER(E16/B16),E16/B16," - ")</f>
        <v>738</v>
      </c>
      <c r="G16" s="403">
        <f>IF(ISNUMBER(IF(D_I="SI",Datos!K16,Datos!K16+Datos!AE16)),IF(D_I="SI",Datos!K16,Datos!K16+Datos!AE16)," - ")</f>
        <v>1606</v>
      </c>
      <c r="H16" s="404">
        <f>IF(ISNUMBER(G16/B16),G16/B16," - ")</f>
        <v>803</v>
      </c>
      <c r="I16" s="403">
        <f>IF(ISNUMBER(IF(D_I="SI",Datos!L16,Datos!L16+Datos!AF16)),IF(D_I="SI",Datos!L16,Datos!L16+Datos!AF16)," - ")</f>
        <v>584</v>
      </c>
      <c r="J16" s="404">
        <f>IF(ISNUMBER(I16/B16),I16/B16," - ")</f>
        <v>292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75</v>
      </c>
      <c r="F17" s="404">
        <f>IF(ISNUMBER(E17/B17),E17/B17," - ")</f>
        <v>75</v>
      </c>
      <c r="G17" s="403">
        <f>IF(ISNUMBER(IF(D_I="SI",Datos!K17,Datos!K17+Datos!AE17)),IF(D_I="SI",Datos!K17,Datos!K17+Datos!AE17)," - ")</f>
        <v>69</v>
      </c>
      <c r="H17" s="404">
        <f>IF(ISNUMBER(G17/B17),G17/B17," - ")</f>
        <v>69</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725</v>
      </c>
      <c r="D18" s="850" t="str">
        <f>IF(ISNUMBER(C18/Datos!BI18),C18/Datos!BI18," - ")</f>
        <v xml:space="preserve"> - </v>
      </c>
      <c r="E18" s="849">
        <f>SUBTOTAL(9,E14:E17)</f>
        <v>1551</v>
      </c>
      <c r="F18" s="850">
        <f>IF(ISNUMBER(E18/B18),E18/B18," - ")</f>
        <v>775.5</v>
      </c>
      <c r="G18" s="849">
        <f>SUBTOTAL(9,G14:G17)</f>
        <v>1675</v>
      </c>
      <c r="H18" s="850">
        <f>IF(ISNUMBER(G18/B18),G18/B18," - ")</f>
        <v>837.5</v>
      </c>
      <c r="I18" s="849">
        <f>SUBTOTAL(9,I14:I17)</f>
        <v>624</v>
      </c>
      <c r="J18" s="850">
        <f>IF(ISNUMBER(I18/B18),I18/B18," - ")</f>
        <v>312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2006</v>
      </c>
      <c r="D19" s="795" t="str">
        <f>IF(ISNUMBER(C19/Datos!BI19),C19/Datos!BI19," - ")</f>
        <v xml:space="preserve"> - </v>
      </c>
      <c r="E19" s="794">
        <f>SUBTOTAL(9,E9:E18)</f>
        <v>3476</v>
      </c>
      <c r="F19" s="795">
        <f>IF(ISNUMBER(E19/B19),E19/B19," - ")</f>
        <v>1738</v>
      </c>
      <c r="G19" s="794">
        <f>SUBTOTAL(9,G9:G18)</f>
        <v>3422</v>
      </c>
      <c r="H19" s="795">
        <f>IF(ISNUMBER(G19/B19),G19/B19," - ")</f>
        <v>1711</v>
      </c>
      <c r="I19" s="794">
        <f>SUBTOTAL(9,I9:I18)</f>
        <v>2083</v>
      </c>
      <c r="J19" s="795">
        <f>IF(ISNUMBER(I19/B19),I19/B19," - ")</f>
        <v>1041.5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RLFazBL0JkACgkCrKKxDytTJ1y1wQ+sgTMGIWlzbetskoBvF2KH8t7oYahlbcLjnGHY4Rd4F5iGM1BLyfIZ3g==" saltValue="CPIDKBHUlsMJWSG/JaHq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BENAVENTE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620</v>
      </c>
      <c r="AM12" s="690">
        <f>IF(ISNUMBER(Datos!N12+DatosP!N16),Datos!N12+DatosP!N16," - ")</f>
        <v>447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9.2379570516540923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-8.7781731909845784E-2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472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615</v>
      </c>
      <c r="AE13" s="939">
        <f t="shared" si="1"/>
        <v>0</v>
      </c>
      <c r="AF13" s="939">
        <f t="shared" si="1"/>
        <v>12</v>
      </c>
      <c r="AG13" s="939">
        <f t="shared" si="1"/>
        <v>0</v>
      </c>
      <c r="AH13" s="939">
        <f t="shared" si="1"/>
        <v>1538</v>
      </c>
      <c r="AI13" s="939">
        <f t="shared" si="1"/>
        <v>0</v>
      </c>
      <c r="AJ13" s="939">
        <f t="shared" si="1"/>
        <v>0</v>
      </c>
      <c r="AK13" s="939">
        <f t="shared" si="1"/>
        <v>0</v>
      </c>
      <c r="AL13" s="939">
        <f t="shared" si="1"/>
        <v>636</v>
      </c>
      <c r="AM13" s="939">
        <f t="shared" si="1"/>
        <v>449</v>
      </c>
      <c r="AN13" s="939">
        <f t="shared" si="1"/>
        <v>0</v>
      </c>
      <c r="AO13" s="939">
        <f t="shared" si="1"/>
        <v>0</v>
      </c>
      <c r="AP13" s="944">
        <f>IF(ISNUMBER(((Datos!L13/Datos!K13)*11)/factor_trimestre),((Datos!L13/Datos!K13)*11)/factor_trimestre," - ")</f>
        <v>8.5042016806722689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-8.7781731909845784E-2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4.0979104477611941</v>
      </c>
      <c r="AQ18" s="944">
        <f>IF(ISNUMBER(((Datos!M18/Datos!L18)*11)/factor_trimestre),((Datos!M18/Datos!L18)*11)/factor_trimestre," - ")</f>
        <v>4.3365384615384617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4.8387096774193547E-2</v>
      </c>
      <c r="AW18" s="946">
        <f>IF(ISNUMBER((Datos!Q18-Datos!R18)/(Datos!S18-Datos!Q18+Datos!R18)),(Datos!Q18-Datos!R18)/(Datos!S18-Datos!Q18+Datos!R18)," - ")</f>
        <v>-3.443708609271523E-2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472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615</v>
      </c>
      <c r="AE19" s="957">
        <f t="shared" si="5"/>
        <v>0</v>
      </c>
      <c r="AF19" s="958">
        <f t="shared" si="5"/>
        <v>12</v>
      </c>
      <c r="AG19" s="958">
        <f t="shared" si="5"/>
        <v>0</v>
      </c>
      <c r="AH19" s="958">
        <f t="shared" si="5"/>
        <v>1538</v>
      </c>
      <c r="AI19" s="958">
        <f t="shared" si="5"/>
        <v>0</v>
      </c>
      <c r="AJ19" s="959">
        <f t="shared" si="5"/>
        <v>0</v>
      </c>
      <c r="AK19" s="959">
        <f t="shared" si="5"/>
        <v>0</v>
      </c>
      <c r="AL19" s="951">
        <f t="shared" si="5"/>
        <v>636</v>
      </c>
      <c r="AM19" s="951">
        <f t="shared" si="5"/>
        <v>449</v>
      </c>
      <c r="AN19" s="951">
        <f t="shared" si="5"/>
        <v>0</v>
      </c>
      <c r="AO19" s="951">
        <f t="shared" si="5"/>
        <v>0</v>
      </c>
      <c r="AP19" s="951">
        <f>IF(ISNUMBER(((Datos!L19/Datos!K19)*11)/factor_trimestre),((Datos!L19/Datos!K19)*11)/factor_trimestre," - ")</f>
        <v>6.2951212211912599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-0.08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358.076341953314</v>
      </c>
      <c r="AM21" s="736"/>
      <c r="AN21" s="736">
        <f>IF(ISNUMBER(STDEV(AN8:AN18)),STDEV(AN8:AN18),"-")</f>
        <v>0</v>
      </c>
      <c r="AO21" s="742">
        <f>IF(ISNUMBER(STDEV(AO8:AO18)),STDEV(AO8:AO18),"-")</f>
        <v>0</v>
      </c>
      <c r="AP21" s="779">
        <f>IF(ISNUMBER(STDEV(AP8:AP18)),STDEV(AP8:AP18),"-")</f>
        <v>2.4381906582977773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lC99Wn5J/uFU5nSqvOU9HyaEOjHD7PIqDBcSn1DQeXHYozlIyfFNSeffZJxsIJaTH2+DXREzg8Vgz7QhlsuuA==" saltValue="ixmL5IrWwkt7z93u1nLS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BENAVENTE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3NgWaJ+VpN3XW4VXcHHrac4sc8BUnrrzVdbEkUA4VQodnSUS2or2P3athK21zoKGIYWumdo+zYDgMoZFoxpwWQ==" saltValue="88qa2W/SE2qcOjOcCV+E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BENAVENTE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620</v>
      </c>
      <c r="E12" s="404">
        <f t="shared" si="0"/>
        <v>310</v>
      </c>
      <c r="F12" s="403">
        <f>IF(ISNUMBER(Datos!N12),Datos!N12," - ")</f>
        <v>447</v>
      </c>
      <c r="G12" s="404">
        <f t="shared" si="1"/>
        <v>223.5</v>
      </c>
      <c r="H12" s="403">
        <f>IF(ISNUMBER(Datos!O12),Datos!O12," - ")</f>
        <v>800</v>
      </c>
      <c r="I12" s="404">
        <f t="shared" si="2"/>
        <v>400</v>
      </c>
      <c r="BZ12" s="1186">
        <f>Datos!EZ12</f>
        <v>0</v>
      </c>
    </row>
    <row r="13" spans="1:78" ht="14.25" thickTop="1" thickBot="1">
      <c r="A13" s="848" t="str">
        <f>Datos!A13</f>
        <v>TOTAL</v>
      </c>
      <c r="B13" s="849">
        <f>Datos!AP13</f>
        <v>2</v>
      </c>
      <c r="C13" s="851">
        <f>Datos!AR13</f>
        <v>2</v>
      </c>
      <c r="D13" s="849">
        <f>SUBTOTAL(9,D9:D12)</f>
        <v>636</v>
      </c>
      <c r="E13" s="850">
        <f t="shared" si="0"/>
        <v>318</v>
      </c>
      <c r="F13" s="849">
        <f>SUBTOTAL(9,F9:F12)</f>
        <v>449</v>
      </c>
      <c r="G13" s="850">
        <f t="shared" si="1"/>
        <v>224.5</v>
      </c>
      <c r="H13" s="849">
        <f>SUBTOTAL(9,H9:H12)</f>
        <v>800</v>
      </c>
      <c r="I13" s="850">
        <f>IF(ISNUMBER(H13/B13),H13/B13," - ")</f>
        <v>400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237</v>
      </c>
      <c r="E16" s="404">
        <f t="shared" si="3"/>
        <v>118.5</v>
      </c>
      <c r="F16" s="403">
        <f>IF(ISNUMBER(Datos!N16),Datos!N16," - ")</f>
        <v>1087</v>
      </c>
      <c r="G16" s="404">
        <f t="shared" si="4"/>
        <v>543.5</v>
      </c>
      <c r="H16" s="403">
        <f>IF(ISNUMBER(Datos!O16),Datos!O16," - ")</f>
        <v>19</v>
      </c>
      <c r="I16" s="404">
        <f t="shared" si="5"/>
        <v>9.5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77</v>
      </c>
      <c r="G17" s="404">
        <f>IF(ISNUMBER(F17/B17),F17/B17," - ")</f>
        <v>77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246</v>
      </c>
      <c r="E18" s="850">
        <f t="shared" si="3"/>
        <v>123</v>
      </c>
      <c r="F18" s="849">
        <f>SUBTOTAL(9,F15:F17)</f>
        <v>1164</v>
      </c>
      <c r="G18" s="850">
        <f t="shared" si="4"/>
        <v>582</v>
      </c>
      <c r="H18" s="849">
        <f>SUBTOTAL(9,H15:H17)</f>
        <v>19</v>
      </c>
      <c r="I18" s="850">
        <f>IF(ISNUMBER(H18/B18),H18/B18," - ")</f>
        <v>9.5</v>
      </c>
      <c r="BZ18" s="1186"/>
    </row>
    <row r="19" spans="1:78" ht="14.25" thickTop="1" thickBot="1">
      <c r="A19" s="793" t="str">
        <f>Datos!A19</f>
        <v>TOTAL JURISDICCIONES</v>
      </c>
      <c r="B19" s="794">
        <f>Datos!AP19</f>
        <v>2</v>
      </c>
      <c r="C19" s="794">
        <f>Datos!AR19</f>
        <v>2</v>
      </c>
      <c r="D19" s="794">
        <f>SUBTOTAL(9,D8:D18)</f>
        <v>882</v>
      </c>
      <c r="E19" s="795">
        <f>IF(ISNUMBER(D19/B19),D19/B19," - ")</f>
        <v>441</v>
      </c>
      <c r="F19" s="794">
        <f>SUBTOTAL(9,F8:F18)</f>
        <v>1613</v>
      </c>
      <c r="G19" s="795">
        <f>IF(ISNUMBER(F19/B19),F19/B19," - ")</f>
        <v>806.5</v>
      </c>
      <c r="H19" s="794">
        <f>SUBTOTAL(9,H8:H18)</f>
        <v>819</v>
      </c>
      <c r="I19" s="795">
        <f>IF(ISNUMBER(H19/B19),H19/B19," - ")</f>
        <v>409.5</v>
      </c>
    </row>
    <row r="22" spans="1:78">
      <c r="A22" s="391" t="str">
        <f>Criterios!A4</f>
        <v>Fecha Informe: 28 feb. 2025</v>
      </c>
    </row>
    <row r="27" spans="1:78">
      <c r="A27" s="414"/>
    </row>
  </sheetData>
  <sheetProtection algorithmName="SHA-512" hashValue="+eibcHHMHrXXlFQ6RhyvSu9/bwaI355Q8hUiHeVDx4G3ZBDAMuZuPsrIDcUaI+bWLxOAMK2+PkhmhdsdLVMLug==" saltValue="wvGXChceQEnNzXlebR10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BENAVENTE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467</v>
      </c>
      <c r="C12" s="434">
        <f>IF(ISNUMBER(Datos!Q12),Datos!Q12," - ")</f>
        <v>615</v>
      </c>
      <c r="D12" s="408">
        <f>IF(ISNUMBER(Datos!R12),Datos!R12," - ")</f>
        <v>1538</v>
      </c>
    </row>
    <row r="13" spans="1:4" ht="14.25" thickTop="1" thickBot="1">
      <c r="A13" s="848" t="str">
        <f>Datos!A13</f>
        <v>TOTAL</v>
      </c>
      <c r="B13" s="849">
        <f>SUBTOTAL(9,B9:B12)</f>
        <v>472</v>
      </c>
      <c r="C13" s="853">
        <f>SUBTOTAL(9,C9:C12)</f>
        <v>615</v>
      </c>
      <c r="D13" s="851">
        <f>SUBTOTAL(9,D9:D12)</f>
        <v>1545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39</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42</v>
      </c>
      <c r="C18" s="853">
        <f>SUBTOTAL(9,C15:C17)</f>
        <v>39</v>
      </c>
      <c r="D18" s="851">
        <f>SUBTOTAL(9,D15:D17)</f>
        <v>65</v>
      </c>
    </row>
    <row r="19" spans="1:4" ht="16.5" customHeight="1" thickTop="1" thickBot="1">
      <c r="A19" s="793" t="str">
        <f>Datos!A19</f>
        <v>TOTAL JURISDICCIONES</v>
      </c>
      <c r="B19" s="798">
        <f>SUBTOTAL(9,B8:B18)</f>
        <v>514</v>
      </c>
      <c r="C19" s="799">
        <f>SUBTOTAL(9,C8:C18)</f>
        <v>654</v>
      </c>
      <c r="D19" s="800">
        <f>SUBTOTAL(9,D8:D18)</f>
        <v>1610</v>
      </c>
    </row>
    <row r="20" spans="1:4" ht="7.5" customHeight="1"/>
    <row r="21" spans="1:4" ht="6" customHeight="1"/>
    <row r="22" spans="1:4">
      <c r="A22" s="391" t="str">
        <f>Criterios!A4</f>
        <v>Fecha Informe: 28 feb. 2025</v>
      </c>
    </row>
    <row r="27" spans="1:4">
      <c r="A27" s="414"/>
    </row>
  </sheetData>
  <sheetProtection algorithmName="SHA-512" hashValue="sZiUkz0Be4k20Q56HM49VzwOwMJOb3N0VEAMa/A5MiMg4WX+vEfE61+FyTKoKoVbuVetmhFAc5AWumSaEElsgQ==" saltValue="Z71srrF84fhYfFBxdIYp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BENAVENTE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v>
      </c>
      <c r="C10" s="456">
        <f>IF(ISNUMBER((Datos!J10-Datos!T10)/Datos!T10),(Datos!J10-Datos!T10)/Datos!T10," - ")</f>
        <v>0.27272727272727271</v>
      </c>
      <c r="D10" s="456">
        <f>IF(ISNUMBER((Datos!K10-Datos!U10)/Datos!U10),(Datos!K10-Datos!U10)/Datos!U10," - ")</f>
        <v>0.6</v>
      </c>
      <c r="E10" s="456">
        <f>IF(ISNUMBER((Datos!L10-Datos!V10)/Datos!V10),(Datos!L10-Datos!V10)/Datos!V10," - ")</f>
        <v>0.5</v>
      </c>
      <c r="F10" s="456">
        <f>IF(ISNUMBER((Datos!M10-Datos!W10)/Datos!W10),(Datos!M10-Datos!W10)/Datos!W10," - ")</f>
        <v>3</v>
      </c>
      <c r="G10" s="457">
        <f>IF(ISNUMBER((Datos!N10-Datos!X10)/Datos!X10),(Datos!N10-Datos!X10)/Datos!X10," - ")</f>
        <v>-0.6</v>
      </c>
      <c r="H10" s="455">
        <f>IF(ISNUMBER(((NºAsuntos!G10/NºAsuntos!E10)-Datos!BD10)/Datos!BD10),((NºAsuntos!G10/NºAsuntos!E10)-Datos!BD10)/Datos!BD10," - ")</f>
        <v>0.25714285714285717</v>
      </c>
      <c r="I10" s="456">
        <f>IF(ISNUMBER(((NºAsuntos!I10/NºAsuntos!G10)-Datos!BE10)/Datos!BE10),((NºAsuntos!I10/NºAsuntos!G10)-Datos!BE10)/Datos!BE10," - ")</f>
        <v>-6.2499999999999986E-2</v>
      </c>
      <c r="J10" s="461">
        <f>IF(ISNUMBER((('Resol  Asuntos'!D10/NºAsuntos!G10)-Datos!BF10)/Datos!BF10),(('Resol  Asuntos'!D10/NºAsuntos!G10)-Datos!BF10)/Datos!BF10," - ")</f>
        <v>1.5</v>
      </c>
      <c r="K10" s="462">
        <f>IF(ISNUMBER((((NºAsuntos!C10+NºAsuntos!E10)/NºAsuntos!G10)-Datos!BG10)/Datos!BG10),(((NºAsuntos!C10+NºAsuntos!E10)/NºAsuntos!G10)-Datos!BG10)/Datos!BG10," - ")</f>
        <v>-2.1739130434782674E-2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0.24074074074074073</v>
      </c>
      <c r="C12" s="456">
        <f>IF(ISNUMBER(
   IF(J_V="SI",(Datos!J12-Datos!T12)/Datos!T12,(Datos!J12+Datos!Z12-(Datos!T12+Datos!AH12))/(Datos!T12+Datos!AH12))
     ),IF(J_V="SI",(Datos!J12-Datos!T12)/Datos!T12,(Datos!J12+Datos!Z12-(Datos!T12+Datos!AH12))/(Datos!T12+Datos!AH12))," - ")</f>
        <v>0.55875102711585867</v>
      </c>
      <c r="D12" s="456">
        <f>IF(ISNUMBER(
   IF(J_V="SI",(Datos!K12-Datos!U12)/Datos!U12,(Datos!K12+Datos!AA12-(Datos!U12+Datos!AI12))/(Datos!U12+Datos!AI12))
     ),IF(J_V="SI",(Datos!K12-Datos!U12)/Datos!U12,(Datos!K12+Datos!AA12-(Datos!U12+Datos!AI12))/(Datos!U12+Datos!AI12))," - ")</f>
        <v>0.77628865979381445</v>
      </c>
      <c r="E12" s="456">
        <f>IF(ISNUMBER(
   IF(J_V="SI",(Datos!L12-Datos!V12)/Datos!V12,(Datos!L12+Datos!AB12-(Datos!V12+Datos!AJ12))/(Datos!V12+Datos!AJ12))
     ),IF(J_V="SI",(Datos!L12-Datos!V12)/Datos!V12,(Datos!L12+Datos!AB12-(Datos!V12+Datos!AJ12))/(Datos!V12+Datos!AJ12))," - ")</f>
        <v>0.13668499607227022</v>
      </c>
      <c r="F12" s="456">
        <f>IF(ISNUMBER((Datos!M12-Datos!W12)/Datos!W12),(Datos!M12-Datos!W12)/Datos!W12," - ")</f>
        <v>0.91950464396284826</v>
      </c>
      <c r="G12" s="457">
        <f>IF(ISNUMBER((Datos!N12-Datos!X12)/Datos!X12),(Datos!N12-Datos!X12)/Datos!X12," - ")</f>
        <v>1.1699029126213591</v>
      </c>
      <c r="H12" s="455">
        <f>IF(ISNUMBER(((NºAsuntos!G12/NºAsuntos!E12)-Datos!BD12)/Datos!BD12),((NºAsuntos!G12/NºAsuntos!E12)-Datos!BD12)/Datos!BD12," - ")</f>
        <v>0.13955893461732852</v>
      </c>
      <c r="I12" s="456">
        <f>IF(ISNUMBER(((NºAsuntos!I12/NºAsuntos!G12)-Datos!BE12)/Datos!BE12),((NºAsuntos!I12/NºAsuntos!G12)-Datos!BE12)/Datos!BE12," - ")</f>
        <v>-0.36007867313400921</v>
      </c>
      <c r="J12" s="461">
        <f>IF(ISNUMBER((('Resol  Asuntos'!D12/NºAsuntos!G12)-Datos!BF12)/Datos!BF12),(('Resol  Asuntos'!D12/NºAsuntos!G12)-Datos!BF12)/Datos!BF12," - ")</f>
        <v>0.69438042700415281</v>
      </c>
      <c r="K12" s="462">
        <f>IF(ISNUMBER((((NºAsuntos!C12+NºAsuntos!E12)/NºAsuntos!G12)-Datos!BG12)/Datos!BG12),(((NºAsuntos!C12+NºAsuntos!E12)/NºAsuntos!G12)-Datos!BG12)/Datos!BG12," - ")</f>
        <v>-0.20436029910815587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0.24732229795520935</v>
      </c>
      <c r="C13" s="855">
        <f>IF(ISNUMBER(
   IF(J_V="SI",(Datos!J13-Datos!T13)/Datos!T13,(Datos!J13+Datos!Z13-(Datos!T13+Datos!AH13))/(Datos!T13+Datos!AH13))
     ),IF(J_V="SI",(Datos!J13-Datos!T13)/Datos!T13,(Datos!J13+Datos!Z13-(Datos!T13+Datos!AH13))/(Datos!T13+Datos!AH13))," - ")</f>
        <v>0.5536723163841808</v>
      </c>
      <c r="D13" s="855">
        <f>IF(ISNUMBER(
   IF(J_V="SI",(Datos!K13-Datos!U13)/Datos!U13,(Datos!K13+Datos!AA13-(Datos!U13+Datos!AI13))/(Datos!U13+Datos!AI13))
     ),IF(J_V="SI",(Datos!K13-Datos!U13)/Datos!U13,(Datos!K13+Datos!AA13-(Datos!U13+Datos!AI13))/(Datos!U13+Datos!AI13))," - ")</f>
        <v>0.77360406091370559</v>
      </c>
      <c r="E13" s="855">
        <f>IF(ISNUMBER(
   IF(J_V="SI",(Datos!L13-Datos!V13)/Datos!V13,(Datos!L13+Datos!AB13-(Datos!V13+Datos!AJ13))/(Datos!V13+Datos!AJ13))
     ),IF(J_V="SI",(Datos!L13-Datos!V13)/Datos!V13,(Datos!L13+Datos!AB13-(Datos!V13+Datos!AJ13))/(Datos!V13+Datos!AJ13))," - ")</f>
        <v>0.13895394223263074</v>
      </c>
      <c r="F13" s="856">
        <f>IF(ISNUMBER((Datos!M13-Datos!W13)/Datos!W13),(Datos!M13-Datos!W13)/Datos!W13," - ")</f>
        <v>0.94495412844036697</v>
      </c>
      <c r="G13" s="857">
        <f>IF(ISNUMBER((Datos!N13-Datos!X13)/Datos!X13),(Datos!N13-Datos!X13)/Datos!X13," - ")</f>
        <v>1.127962085308057</v>
      </c>
      <c r="H13" s="857">
        <f>IF(ISNUMBER(((NºAsuntos!G13/NºAsuntos!E13)-Datos!BD13)/Datos!BD13),((NºAsuntos!G13/NºAsuntos!E13)-Datos!BD13)/Datos!BD13," - ")</f>
        <v>0.14155606829718509</v>
      </c>
      <c r="I13" s="857">
        <f>IF(ISNUMBER(((NºAsuntos!I13/NºAsuntos!G13)-Datos!BE13)/Datos!BE13),((NºAsuntos!I13/NºAsuntos!G13)-Datos!BE13)/Datos!BE13," - ")</f>
        <v>-0.35783077670341085</v>
      </c>
      <c r="J13" s="857">
        <f>IF(ISNUMBER((('Resol  Asuntos'!D13/NºAsuntos!G13)-Datos!BF13)/Datos!BF13),(('Resol  Asuntos'!D13/NºAsuntos!G13)-Datos!BF13)/Datos!BF13," - ")</f>
        <v>0.70758034181045049</v>
      </c>
      <c r="K13" s="857">
        <f>IF(ISNUMBER((((NºAsuntos!C13+NºAsuntos!E13)/NºAsuntos!G13)-Datos!BG13)/Datos!BG13),(((NºAsuntos!C13+NºAsuntos!E13)/NºAsuntos!G13)-Datos!BG13)/Datos!BG13," - ")</f>
        <v>-0.20228650704195469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-1.5669515669515671E-2</v>
      </c>
      <c r="C16" s="456">
        <f>IF(ISNUMBER(
   IF(D_I="SI",(Datos!J16-Datos!T16)/Datos!T16,(Datos!J16+Datos!AD16-(Datos!T16+Datos!AL16))/(Datos!T16+Datos!AL16))
     ),IF(D_I="SI",(Datos!J16-Datos!T16)/Datos!T16,(Datos!J16+Datos!AD16-(Datos!T16+Datos!AL16))/(Datos!T16+Datos!AL16))," - ")</f>
        <v>0.33333333333333331</v>
      </c>
      <c r="D16" s="456">
        <f>IF(ISNUMBER(
   IF(D_I="SI",(Datos!K16-Datos!U16)/Datos!U16,(Datos!K16+Datos!AE16-(Datos!U16+Datos!AM16))/(Datos!U16+Datos!AM16))
     ),IF(D_I="SI",(Datos!K16-Datos!U16)/Datos!U16,(Datos!K16+Datos!AE16-(Datos!U16+Datos!AM16))/(Datos!U16+Datos!AM16))," - ")</f>
        <v>0.43649373881932019</v>
      </c>
      <c r="E16" s="456">
        <f>IF(ISNUMBER(
   IF(D_I="SI",(Datos!L16-Datos!V16)/Datos!V16,(Datos!L16+Datos!AF16-(Datos!V16+Datos!AN16))/(Datos!V16+Datos!AN16))
     ),IF(D_I="SI",(Datos!L16-Datos!V16)/Datos!V16,(Datos!L16+Datos!AF16-(Datos!V16+Datos!AN16))/(Datos!V16+Datos!AN16))," - ")</f>
        <v>-0.15484804630969609</v>
      </c>
      <c r="F16" s="456">
        <f>IF(ISNUMBER((Datos!M16-Datos!W16)/Datos!W16),(Datos!M16-Datos!W16)/Datos!W16," - ")</f>
        <v>5.3333333333333337E-2</v>
      </c>
      <c r="G16" s="457">
        <f>IF(ISNUMBER((Datos!N16-Datos!X16)/Datos!X16),(Datos!N16-Datos!X16)/Datos!X16," - ")</f>
        <v>0.45515394912985274</v>
      </c>
      <c r="H16" s="455">
        <f>IF(ISNUMBER(((NºAsuntos!G16/NºAsuntos!E16)-Datos!BD16)/Datos!BD16),((NºAsuntos!G16/NºAsuntos!E16)-Datos!BD16)/Datos!BD16," - ")</f>
        <v>7.7370304114490127E-2</v>
      </c>
      <c r="I16" s="456">
        <f>IF(ISNUMBER(((NºAsuntos!I16/NºAsuntos!G16)-Datos!BE16)/Datos!BE16),((NºAsuntos!I16/NºAsuntos!G16)-Datos!BE16)/Datos!BE16," - ")</f>
        <v>-0.41165636100513087</v>
      </c>
      <c r="J16" s="461">
        <f>IF(ISNUMBER((('Resol  Asuntos'!D16/NºAsuntos!G16)-Datos!BF16)/Datos!BF16),(('Resol  Asuntos'!D16/NºAsuntos!G16)-Datos!BF16)/Datos!BF16," - ")</f>
        <v>-0.26673308426733083</v>
      </c>
      <c r="K16" s="462">
        <f>IF(ISNUMBER((((NºAsuntos!C16+NºAsuntos!E16)/NºAsuntos!G16)-Datos!BG16)/Datos!BG16),(((NºAsuntos!C16+NºAsuntos!E16)/NºAsuntos!G16)-Datos!BG16)/Datos!BG16," - ")</f>
        <v>-0.16609494385000417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0.25925925925925924</v>
      </c>
      <c r="C17" s="456">
        <f>IF(ISNUMBER(
   IF(D_I="SI",(Datos!J17-Datos!T17)/Datos!T17,(Datos!J17+Datos!AD17-(Datos!T17+Datos!AL17))/(Datos!T17+Datos!AL17))
     ),IF(D_I="SI",(Datos!J17-Datos!T17)/Datos!T17,(Datos!J17+Datos!AD17-(Datos!T17+Datos!AL17))/(Datos!T17+Datos!AL17))," - ")</f>
        <v>-0.17582417582417584</v>
      </c>
      <c r="D17" s="456">
        <f>IF(ISNUMBER(
   IF(D_I="SI",(Datos!K17-Datos!U17)/Datos!U17,(Datos!K17+Datos!AE17-(Datos!U17+Datos!AM17))/(Datos!U17+Datos!AM17))
     ),IF(D_I="SI",(Datos!K17-Datos!U17)/Datos!U17,(Datos!K17+Datos!AE17-(Datos!U17+Datos!AM17))/(Datos!U17+Datos!AM17))," - ")</f>
        <v>-0.17857142857142858</v>
      </c>
      <c r="E17" s="456">
        <f>IF(ISNUMBER(
   IF(D_I="SI",(Datos!L17-Datos!V17)/Datos!V17,(Datos!L17+Datos!AF17-(Datos!V17+Datos!AN17))/(Datos!V17+Datos!AN17))
     ),IF(D_I="SI",(Datos!L17-Datos!V17)/Datos!V17,(Datos!L17+Datos!AF17-(Datos!V17+Datos!AN17))/(Datos!V17+Datos!AN17))," - ")</f>
        <v>0.17647058823529413</v>
      </c>
      <c r="F17" s="456">
        <f>IF(ISNUMBER((Datos!M17-Datos!W17)/Datos!W17),(Datos!M17-Datos!W17)/Datos!W17," - ")</f>
        <v>-0.4375</v>
      </c>
      <c r="G17" s="457">
        <f>IF(ISNUMBER((Datos!N17-Datos!X17)/Datos!X17),(Datos!N17-Datos!X17)/Datos!X17," - ")</f>
        <v>-0.17204301075268819</v>
      </c>
      <c r="H17" s="455">
        <f>IF(ISNUMBER(((NºAsuntos!G17/NºAsuntos!E17)-Datos!BD17)/Datos!BD17),((NºAsuntos!G17/NºAsuntos!E17)-Datos!BD17)/Datos!BD17," - ")</f>
        <v>-3.3333333333333453E-3</v>
      </c>
      <c r="I17" s="456">
        <f>IF(ISNUMBER(((NºAsuntos!I17/NºAsuntos!G17)-Datos!BE17)/Datos!BE17),((NºAsuntos!I17/NºAsuntos!G17)-Datos!BE17)/Datos!BE17," - ")</f>
        <v>0.43222506393861898</v>
      </c>
      <c r="J17" s="461">
        <f>IF(ISNUMBER((('Resol  Asuntos'!D17/NºAsuntos!G17)-Datos!BF17)/Datos!BF17),(('Resol  Asuntos'!D17/NºAsuntos!G17)-Datos!BF17)/Datos!BF17," - ")</f>
        <v>-0.31521739130434778</v>
      </c>
      <c r="K17" s="462">
        <f>IF(ISNUMBER((((NºAsuntos!C17+NºAsuntos!E17)/NºAsuntos!G17)-Datos!BG17)/Datos!BG17),(((NºAsuntos!C17+NºAsuntos!E17)/NºAsuntos!G17)-Datos!BG17)/Datos!BG17," - ")</f>
        <v>0.12453942520265293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-5.4869684499314125E-3</v>
      </c>
      <c r="C18" s="855">
        <f>IF(ISNUMBER(
   IF(Criterios!B14="SI",(Datos!J18-Datos!T18)/Datos!T18,(Datos!J18+Datos!AD18-(Datos!T18+Datos!AL18))/(Datos!T18+Datos!AL18))
     ),IF(Criterios!B14="SI",(Datos!J18-Datos!T18)/Datos!T18,(Datos!J18+Datos!AD18-(Datos!T18+Datos!AL18))/(Datos!T18+Datos!AL18))," - ")</f>
        <v>0.29465776293823037</v>
      </c>
      <c r="D18" s="855">
        <f>IF(ISNUMBER(
   IF(Criterios!B14="SI",(Datos!K18-Datos!U18)/Datos!U18,(Datos!K18+Datos!AE18-(Datos!U18+Datos!AM18))/(Datos!U18+Datos!AM18))
     ),IF(Criterios!B14="SI",(Datos!K18-Datos!U18)/Datos!U18,(Datos!K18+Datos!AE18-(Datos!U18+Datos!AM18))/(Datos!U18+Datos!AM18))," - ")</f>
        <v>0.39351081530782028</v>
      </c>
      <c r="E18" s="855">
        <f>IF(ISNUMBER(
   IF(Criterios!B14="SI",(Datos!L18-Datos!V18)/Datos!V18,(Datos!L18+Datos!AF18-(Datos!V18+Datos!AN18))/(Datos!V18+Datos!AN18))
     ),IF(Criterios!B14="SI",(Datos!L18-Datos!V18)/Datos!V18,(Datos!L18+Datos!AF18-(Datos!V18+Datos!AN18))/(Datos!V18+Datos!AN18))," - ")</f>
        <v>-0.1393103448275862</v>
      </c>
      <c r="F18" s="856">
        <f>IF(ISNUMBER((Datos!M18-Datos!W18)/Datos!W18),(Datos!M18-Datos!W18)/Datos!W18," - ")</f>
        <v>2.0746887966804978E-2</v>
      </c>
      <c r="G18" s="857">
        <f>IF(ISNUMBER((Datos!N18-Datos!X18)/Datos!X18),(Datos!N18-Datos!X18)/Datos!X18," - ")</f>
        <v>0.38571428571428573</v>
      </c>
      <c r="H18" s="857">
        <f>IF(ISNUMBER(((NºAsuntos!G18/NºAsuntos!E18)-Datos!BD18)/Datos!BD18),((NºAsuntos!G18/NºAsuntos!E18)-Datos!BD18)/Datos!BD18," - ")</f>
        <v>7.6354582036601309E-2</v>
      </c>
      <c r="I18" s="857">
        <f>IF(ISNUMBER(((NºAsuntos!I18/NºAsuntos!G18)-Datos!BE18)/Datos!BE18),((NºAsuntos!I18/NºAsuntos!G18)-Datos!BE18)/Datos!BE18," - ")</f>
        <v>-0.38235882655687087</v>
      </c>
      <c r="J18" s="857">
        <f>IF(ISNUMBER((('Resol  Asuntos'!D18/NºAsuntos!G18)-Datos!BF18)/Datos!BF18),(('Resol  Asuntos'!D18/NºAsuntos!G18)-Datos!BF18)/Datos!BF18," - ")</f>
        <v>-0.26749984517247782</v>
      </c>
      <c r="K18" s="857">
        <f>IF(ISNUMBER((((NºAsuntos!C18+NºAsuntos!E18)/NºAsuntos!G18)-Datos!BG18)/Datos!BG18),(((NºAsuntos!C18+NºAsuntos!E18)/NºAsuntos!G18)-Datos!BG18)/Datos!BG18," - ")</f>
        <v>-0.15242097762355838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0.14236902050113895</v>
      </c>
      <c r="C19" s="802">
        <f>IF(ISNUMBER(
   IF(J_V="SI",(Datos!J19-Datos!T19)/Datos!T19,(Datos!J19+Datos!Z19-(Datos!T19+Datos!AH19))/(Datos!T19+Datos!AH19))
     ),IF(J_V="SI",(Datos!J19-Datos!T19)/Datos!T19,(Datos!J19+Datos!Z19-(Datos!T19+Datos!AH19))/(Datos!T19+Datos!AH19))," - ")</f>
        <v>0.42634386540828889</v>
      </c>
      <c r="D19" s="802">
        <f>IF(ISNUMBER(
   IF(J_V="SI",(Datos!K19-Datos!U19)/Datos!U19,(Datos!K19+Datos!AA19-(Datos!U19+Datos!AI19))/(Datos!U19+Datos!AI19))
     ),IF(J_V="SI",(Datos!K19-Datos!U19)/Datos!U19,(Datos!K19+Datos!AA19-(Datos!U19+Datos!AI19))/(Datos!U19+Datos!AI19))," - ")</f>
        <v>0.56470050297210794</v>
      </c>
      <c r="E19" s="802">
        <f>IF(ISNUMBER(
   IF(J_V="SI",(Datos!L19-Datos!V19)/Datos!V19,(Datos!L19+Datos!AB19-(Datos!V19+Datos!AJ19))/(Datos!V19+Datos!AJ19))
     ),IF(J_V="SI",(Datos!L19-Datos!V19)/Datos!V19,(Datos!L19+Datos!AB19-(Datos!V19+Datos!AJ19))/(Datos!V19+Datos!AJ19))," - ")</f>
        <v>3.8384845463609173E-2</v>
      </c>
      <c r="F19" s="803">
        <f>IF(ISNUMBER((Datos!M19-Datos!W19)/Datos!W19),(Datos!M19-Datos!W19)/Datos!W19," - ")</f>
        <v>0.55281690140845074</v>
      </c>
      <c r="G19" s="804">
        <f>IF(ISNUMBER((Datos!N19-Datos!X19)/Datos!X19),(Datos!N19-Datos!X19)/Datos!X19," - ")</f>
        <v>0.53472882968601332</v>
      </c>
      <c r="H19" s="805">
        <f>IF(ISNUMBER((Tasas!B19-Datos!BD19)/Datos!BD19),(Tasas!B19-Datos!BD19)/Datos!BD19," - ")</f>
        <v>9.7000899235623328E-2</v>
      </c>
      <c r="I19" s="806">
        <f>IF(ISNUMBER((Tasas!C19-Datos!BE19)/Datos!BE19),(Tasas!C19-Datos!BE19)/Datos!BE19," - ")</f>
        <v>-0.3363683059529769</v>
      </c>
      <c r="J19" s="807">
        <f>IF(ISNUMBER((Tasas!D19-Datos!BF19)/Datos!BF19),(Tasas!D19-Datos!BF19)/Datos!BF19," - ")</f>
        <v>0.24985842228647034</v>
      </c>
      <c r="K19" s="807">
        <f>IF(ISNUMBER((Tasas!E19-Datos!BG19)/Datos!BG19),(Tasas!E19-Datos!BG19)/Datos!BG19," - ")</f>
        <v>-0.16442979260611224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NcKrGLKWb9ZejVHLlWzLqNtP/j0XYGqIYyfUn45tmXVd9OSmRUqFCcJJhivmAkp79I+7UKVCFAd3E2Jhdbxhw==" saltValue="tvrUmMVg/ipLchDbk7p9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BENAVENTE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0.5</v>
      </c>
      <c r="D10" s="444">
        <f>IF(ISNUMBER('Resol  Asuntos'!D10/NºAsuntos!G10),'Resol  Asuntos'!D10/NºAsuntos!G10," - ")</f>
        <v>0.66666666666666663</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0.90827622561939902</v>
      </c>
      <c r="C12" s="443">
        <f>IF(ISNUMBER(NºAsuntos!I12/NºAsuntos!G12),NºAsuntos!I12/NºAsuntos!G12," - ")</f>
        <v>0.83981427742309922</v>
      </c>
      <c r="D12" s="444">
        <f>IF(ISNUMBER('Resol  Asuntos'!D12/NºAsuntos!G12),'Resol  Asuntos'!D12/NºAsuntos!G12," - ")</f>
        <v>0.35983749274521182</v>
      </c>
      <c r="E12" s="445">
        <f>IF(ISNUMBER((NºAsuntos!C12+NºAsuntos!E12)/NºAsuntos!G12),(NºAsuntos!C12+NºAsuntos!E12)/NºAsuntos!G12," - ")</f>
        <v>1.8398142774230992</v>
      </c>
      <c r="G12" s="463"/>
    </row>
    <row r="13" spans="1:7" ht="14.25" thickTop="1" thickBot="1">
      <c r="A13" s="848" t="str">
        <f>Datos!A13</f>
        <v>TOTAL</v>
      </c>
      <c r="B13" s="858">
        <f>IF(ISNUMBER(NºAsuntos!G13/NºAsuntos!E13),NºAsuntos!G13/NºAsuntos!E13," - ")</f>
        <v>0.90753246753246752</v>
      </c>
      <c r="C13" s="859">
        <f>IF(ISNUMBER(NºAsuntos!I13/NºAsuntos!G13),NºAsuntos!I13/NºAsuntos!G13," - ")</f>
        <v>0.83514596451058953</v>
      </c>
      <c r="D13" s="860">
        <f>IF(ISNUMBER('Resol  Asuntos'!D13/NºAsuntos!G13),'Resol  Asuntos'!D13/NºAsuntos!G13," - ")</f>
        <v>0.36405266170578132</v>
      </c>
      <c r="E13" s="861">
        <f>IF(ISNUMBER((NºAsuntos!C13+NºAsuntos!E13)/NºAsuntos!G13),(NºAsuntos!C13+NºAsuntos!E13)/NºAsuntos!G13," - ")</f>
        <v>1.8351459645105896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1.0880758807588076</v>
      </c>
      <c r="C16" s="443">
        <f>IF(ISNUMBER(NºAsuntos!I16/NºAsuntos!G16),NºAsuntos!I16/NºAsuntos!G16," - ")</f>
        <v>0.36363636363636365</v>
      </c>
      <c r="D16" s="444">
        <f>IF(ISNUMBER('Resol  Asuntos'!D16/NºAsuntos!G16),'Resol  Asuntos'!D16/NºAsuntos!G16," - ")</f>
        <v>0.14757160647571607</v>
      </c>
      <c r="E16" s="445">
        <f>IF(ISNUMBER((NºAsuntos!C16+NºAsuntos!E16)/NºAsuntos!G16),(NºAsuntos!C16+NºAsuntos!E16)/NºAsuntos!G16," - ")</f>
        <v>1.3493150684931507</v>
      </c>
      <c r="G16" s="463"/>
    </row>
    <row r="17" spans="1:7" ht="13.5" thickBot="1">
      <c r="A17" s="402" t="str">
        <f>Datos!A17</f>
        <v>Jdos. Violencia contra la mujer</v>
      </c>
      <c r="B17" s="442">
        <f>IF(ISNUMBER(NºAsuntos!G17/NºAsuntos!E17),NºAsuntos!G17/NºAsuntos!E17," - ")</f>
        <v>0.92</v>
      </c>
      <c r="C17" s="443">
        <f>IF(ISNUMBER(NºAsuntos!I17/NºAsuntos!G17),NºAsuntos!I17/NºAsuntos!G17," - ")</f>
        <v>0.57971014492753625</v>
      </c>
      <c r="D17" s="444">
        <f>IF(ISNUMBER('Resol  Asuntos'!D17/NºAsuntos!G17),'Resol  Asuntos'!D17/NºAsuntos!G17," - ")</f>
        <v>0.13043478260869565</v>
      </c>
      <c r="E17" s="445">
        <f>IF(ISNUMBER((NºAsuntos!C17+NºAsuntos!E17)/NºAsuntos!G17),(NºAsuntos!C17+NºAsuntos!E17)/NºAsuntos!G17," - ")</f>
        <v>1.5797101449275361</v>
      </c>
      <c r="G17" s="463"/>
    </row>
    <row r="18" spans="1:7" ht="14.25" thickTop="1" thickBot="1">
      <c r="A18" s="848" t="str">
        <f>Datos!A18</f>
        <v>TOTAL</v>
      </c>
      <c r="B18" s="858">
        <f>IF(ISNUMBER(NºAsuntos!G18/NºAsuntos!E18),NºAsuntos!G18/NºAsuntos!E18," - ")</f>
        <v>1.0799484203739522</v>
      </c>
      <c r="C18" s="859">
        <f>IF(ISNUMBER(NºAsuntos!I18/NºAsuntos!G18),NºAsuntos!I18/NºAsuntos!G18," - ")</f>
        <v>0.3725373134328358</v>
      </c>
      <c r="D18" s="862">
        <f>IF(ISNUMBER('Resol  Asuntos'!D18/NºAsuntos!G18),'Resol  Asuntos'!D18/NºAsuntos!G18," - ")</f>
        <v>0.14686567164179104</v>
      </c>
      <c r="E18" s="861">
        <f>IF(ISNUMBER((NºAsuntos!C18+NºAsuntos!E18)/NºAsuntos!G18),(NºAsuntos!C18+NºAsuntos!E18)/NºAsuntos!G18," - ")</f>
        <v>1.3588059701492536</v>
      </c>
      <c r="G18" s="463"/>
    </row>
    <row r="19" spans="1:7" ht="15.75" customHeight="1" thickTop="1" thickBot="1">
      <c r="A19" s="793" t="str">
        <f>Datos!A19</f>
        <v>TOTAL JURISDICCIONES</v>
      </c>
      <c r="B19" s="808">
        <f>IF(ISNUMBER(NºAsuntos!G19/NºAsuntos!E19),NºAsuntos!G19/NºAsuntos!E19," - ")</f>
        <v>0.98446490218642113</v>
      </c>
      <c r="C19" s="809">
        <f>IF(ISNUMBER(NºAsuntos!I19/NºAsuntos!G19),NºAsuntos!I19/NºAsuntos!G19," - ")</f>
        <v>0.60870835768556397</v>
      </c>
      <c r="D19" s="810">
        <f>IF(ISNUMBER('Resol  Asuntos'!D19/NºAsuntos!G19),'Resol  Asuntos'!D19/NºAsuntos!G19," - ")</f>
        <v>0.25774400935125658</v>
      </c>
      <c r="E19" s="811">
        <f>IF(ISNUMBER((NºAsuntos!C19+NºAsuntos!E19)/NºAsuntos!G19),(NºAsuntos!C19+NºAsuntos!E19)/NºAsuntos!G19," - ")</f>
        <v>1.6019871420222092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Xaats7z6wo21J4HCJCvHp3r7/3xPYZJBa4DViAJ9m0ocBfcqS5p2sQWyhZPY9CJg1un85nUTCzJZVcneT+BQ==" saltValue="Kxb4b885Hr6H8VYPu1VH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BENAVENTE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0</v>
      </c>
      <c r="Y10" s="334">
        <f t="shared" ref="Y10:Y12" si="0">SUM(W10:X10)</f>
        <v>24</v>
      </c>
      <c r="Z10" s="335" t="str">
        <f>IF(ISNUMBER(Datos!CC10),Datos!CC10," - ")</f>
        <v xml:space="preserve"> - </v>
      </c>
      <c r="AA10" s="332">
        <f>IF(ISNUMBER(Datos!L10),Datos!L10,"-")</f>
        <v>12</v>
      </c>
      <c r="AB10" s="334">
        <f>IF(ISNUMBER(Datos!R10),Datos!R10," - ")</f>
        <v>7</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5.5</v>
      </c>
      <c r="AN10" s="244">
        <f>IF(ISNUMBER('Resol  Asuntos'!D10/NºAsuntos!G10),'Resol  Asuntos'!D10/NºAsuntos!G10," - ")</f>
        <v>0.66666666666666663</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615</v>
      </c>
      <c r="Y12" s="334">
        <f t="shared" si="0"/>
        <v>615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620</v>
      </c>
      <c r="AJ12" s="229" t="str">
        <f>IF(ISNUMBER(Datos!BW12),Datos!BW12," - ")</f>
        <v xml:space="preserve"> - </v>
      </c>
      <c r="AK12" s="228" t="str">
        <f>IF(ISNUMBER(Datos!BX12),Datos!BX12," - ")</f>
        <v xml:space="preserve"> - </v>
      </c>
      <c r="AL12" s="243">
        <f>IF(ISNUMBER(NºAsuntos!G12/NºAsuntos!E12),NºAsuntos!G12/NºAsuntos!E12," - ")</f>
        <v>0.90827622561939902</v>
      </c>
      <c r="AM12" s="260">
        <f>IF(ISNUMBER(((NºAsuntos!I12/NºAsuntos!G12)*11)/factor_trimestre),((NºAsuntos!I12/NºAsuntos!G12)*11)/factor_trimestre," - ")</f>
        <v>9.2379570516540923</v>
      </c>
      <c r="AN12" s="244">
        <f>IF(ISNUMBER('Resol  Asuntos'!D12/NºAsuntos!G12),'Resol  Asuntos'!D12/NºAsuntos!G12," - ")</f>
        <v>0.35983749274521182</v>
      </c>
      <c r="AO12" s="245">
        <f>IF(ISNUMBER((NºAsuntos!C12+NºAsuntos!E12)/NºAsuntos!G12),(NºAsuntos!C12+NºAsuntos!E12)/NºAsuntos!G12," - ")</f>
        <v>1.8398142774230992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472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615</v>
      </c>
      <c r="Y13" s="868">
        <f t="shared" si="4"/>
        <v>639</v>
      </c>
      <c r="Z13" s="868">
        <f t="shared" si="4"/>
        <v>0</v>
      </c>
      <c r="AA13" s="868">
        <f t="shared" si="4"/>
        <v>12</v>
      </c>
      <c r="AB13" s="868">
        <f t="shared" si="4"/>
        <v>1545</v>
      </c>
      <c r="AC13" s="868">
        <f t="shared" si="4"/>
        <v>19</v>
      </c>
      <c r="AD13" s="868">
        <f t="shared" si="4"/>
        <v>0</v>
      </c>
      <c r="AE13" s="872">
        <f t="shared" si="4"/>
        <v>0</v>
      </c>
      <c r="AF13" s="865">
        <f t="shared" si="4"/>
        <v>0</v>
      </c>
      <c r="AG13" s="873">
        <f t="shared" si="4"/>
        <v>0</v>
      </c>
      <c r="AH13" s="870">
        <f t="shared" si="4"/>
        <v>0</v>
      </c>
      <c r="AI13" s="865">
        <f t="shared" si="4"/>
        <v>636</v>
      </c>
      <c r="AJ13" s="867">
        <f t="shared" si="4"/>
        <v>0</v>
      </c>
      <c r="AK13" s="870">
        <f>SUBTOTAL(9,AK9:AK12)</f>
        <v>0</v>
      </c>
      <c r="AL13" s="874">
        <f>IF(ISNUMBER(NºAsuntos!G13/NºAsuntos!E13),NºAsuntos!G13/NºAsuntos!E13," - ")</f>
        <v>0.90753246753246752</v>
      </c>
      <c r="AM13" s="874">
        <f>IF(ISNUMBER(((NºAsuntos!I13/NºAsuntos!G13)*11)/factor_trimestre),((NºAsuntos!I13/NºAsuntos!G13)*11)/factor_trimestre," - ")</f>
        <v>9.1866056096164854</v>
      </c>
      <c r="AN13" s="875">
        <f>IF(ISNUMBER('Resol  Asuntos'!D13/NºAsuntos!G13),'Resol  Asuntos'!D13/NºAsuntos!G13," - ")</f>
        <v>0.36405266170578132</v>
      </c>
      <c r="AO13" s="876">
        <f>IF(ISNUMBER((NºAsuntos!C13+NºAsuntos!E13)/NºAsuntos!G13),(NºAsuntos!C13+NºAsuntos!E13)/NºAsuntos!G13," - ")</f>
        <v>1.8351459645105896</v>
      </c>
      <c r="AP13" s="877" t="str">
        <f t="shared" si="2"/>
        <v xml:space="preserve"> - </v>
      </c>
      <c r="AQ13" s="877">
        <f>IF(ISNUMBER((H13-W13+K13)/(F13)),(H13-W13+K13)/(F13)," - ")</f>
        <v>-3</v>
      </c>
      <c r="AR13" s="878">
        <f>IF(ISNUMBER((Datos!P13-Datos!Q13)/(Datos!R13-Datos!P13+Datos!Q13)),(Datos!P13-Datos!Q13)/(Datos!R13-Datos!P13+Datos!Q13)," - ")</f>
        <v>-8.4715639810426541E-2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714</v>
      </c>
      <c r="G16" s="333">
        <f>IF(ISNUMBER(IF(D_I="SI",Datos!I16,Datos!I16+Datos!AC16)),IF(D_I="SI",Datos!I16,Datos!I16+Datos!AC16)," - ")</f>
        <v>691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1606</v>
      </c>
      <c r="X16" s="226">
        <f>IF(ISNUMBER(Datos!Q16),Datos!Q16," - ")</f>
        <v>39</v>
      </c>
      <c r="Y16" s="334">
        <f t="shared" ref="Y16:Y17" si="7">SUM(W16:X16)</f>
        <v>1645</v>
      </c>
      <c r="Z16" s="335" t="str">
        <f>IF(ISNUMBER(Datos!CC16),Datos!CC16," - ")</f>
        <v xml:space="preserve"> - </v>
      </c>
      <c r="AA16" s="332">
        <f>IF(ISNUMBER(IF(D_I="SI",Datos!L16,Datos!L16+Datos!AF16)),IF(D_I="SI",Datos!L16,Datos!L16+Datos!AF16)," - ")</f>
        <v>584</v>
      </c>
      <c r="AB16" s="334">
        <f>IF(ISNUMBER(Datos!R16),Datos!R16," - ")</f>
        <v>65</v>
      </c>
      <c r="AC16" s="334">
        <f t="shared" si="6"/>
        <v>649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237</v>
      </c>
      <c r="AJ16" s="231" t="str">
        <f>IF(ISNUMBER(Datos!BW16),Datos!BW16," - ")</f>
        <v xml:space="preserve"> - </v>
      </c>
      <c r="AK16" s="232" t="str">
        <f>IF(ISNUMBER(Datos!BX16),Datos!BX16," - ")</f>
        <v xml:space="preserve"> - </v>
      </c>
      <c r="AL16" s="243">
        <f>IF(ISNUMBER(NºAsuntos!G16/NºAsuntos!E16),NºAsuntos!G16/NºAsuntos!E16," - ")</f>
        <v>1.0880758807588076</v>
      </c>
      <c r="AM16" s="260">
        <f>IF(ISNUMBER(((NºAsuntos!I16/NºAsuntos!G16)*11)/factor_trimestre),((NºAsuntos!I16/NºAsuntos!G16)*11)/factor_trimestre," - ")</f>
        <v>4</v>
      </c>
      <c r="AN16" s="244">
        <f>IF(ISNUMBER('Resol  Asuntos'!D16/NºAsuntos!G16),'Resol  Asuntos'!D16/NºAsuntos!G16," - ")</f>
        <v>0.14757160647571607</v>
      </c>
      <c r="AO16" s="245">
        <f>IF(ISNUMBER((NºAsuntos!C16+NºAsuntos!E16)/NºAsuntos!G16),(NºAsuntos!C16+NºAsuntos!E16)/NºAsuntos!G16," - ")</f>
        <v>1.3493150684931507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69</v>
      </c>
      <c r="X17" s="226">
        <f>IF(ISNUMBER(Datos!Q17),Datos!Q17," - ")</f>
        <v>0</v>
      </c>
      <c r="Y17" s="334">
        <f t="shared" si="7"/>
        <v>69</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0.92</v>
      </c>
      <c r="AM17" s="260">
        <f>IF(ISNUMBER(((NºAsuntos!I17/NºAsuntos!G17)*11)/factor_trimestre),((NºAsuntos!I17/NºAsuntos!G17)*11)/factor_trimestre," - ")</f>
        <v>6.3768115942028984</v>
      </c>
      <c r="AN17" s="244">
        <f>IF(ISNUMBER('Resol  Asuntos'!D17/NºAsuntos!G17),'Resol  Asuntos'!D17/NºAsuntos!G17," - ")</f>
        <v>0.13043478260869565</v>
      </c>
      <c r="AO17" s="245">
        <f>IF(ISNUMBER((NºAsuntos!C17+NºAsuntos!E17)/NºAsuntos!G17),(NºAsuntos!C17+NºAsuntos!E17)/NºAsuntos!G17," - ")</f>
        <v>1.5797101449275361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714</v>
      </c>
      <c r="G18" s="866">
        <f>SUBTOTAL(9,G15:G17)</f>
        <v>725</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1675</v>
      </c>
      <c r="X18" s="867">
        <f t="shared" si="11"/>
        <v>39</v>
      </c>
      <c r="Y18" s="868">
        <f t="shared" si="11"/>
        <v>1714</v>
      </c>
      <c r="Z18" s="868">
        <f t="shared" si="11"/>
        <v>0</v>
      </c>
      <c r="AA18" s="868">
        <f t="shared" si="11"/>
        <v>624</v>
      </c>
      <c r="AB18" s="868">
        <f t="shared" si="11"/>
        <v>65</v>
      </c>
      <c r="AC18" s="868">
        <f t="shared" si="11"/>
        <v>689</v>
      </c>
      <c r="AD18" s="868">
        <f t="shared" si="11"/>
        <v>0</v>
      </c>
      <c r="AE18" s="872">
        <f t="shared" si="11"/>
        <v>0</v>
      </c>
      <c r="AF18" s="865">
        <f t="shared" si="11"/>
        <v>0</v>
      </c>
      <c r="AG18" s="873">
        <f t="shared" si="11"/>
        <v>0</v>
      </c>
      <c r="AH18" s="870">
        <f t="shared" si="11"/>
        <v>0</v>
      </c>
      <c r="AI18" s="865">
        <f t="shared" si="11"/>
        <v>246</v>
      </c>
      <c r="AJ18" s="867">
        <f t="shared" si="11"/>
        <v>0</v>
      </c>
      <c r="AK18" s="870">
        <f t="shared" si="11"/>
        <v>0</v>
      </c>
      <c r="AL18" s="874">
        <f>IF(ISNUMBER(NºAsuntos!G18/NºAsuntos!E18),NºAsuntos!G18/NºAsuntos!E18," - ")</f>
        <v>1.0799484203739522</v>
      </c>
      <c r="AM18" s="874">
        <f>IF(ISNUMBER(((NºAsuntos!I18/NºAsuntos!G18)*11)/factor_trimestre),((NºAsuntos!I18/NºAsuntos!G18)*11)/factor_trimestre," - ")</f>
        <v>4.0979104477611941</v>
      </c>
      <c r="AN18" s="875">
        <f>IF(ISNUMBER('Resol  Asuntos'!D18/NºAsuntos!G18),'Resol  Asuntos'!D18/NºAsuntos!G18," - ")</f>
        <v>0.14686567164179104</v>
      </c>
      <c r="AO18" s="876">
        <f>IF(ISNUMBER((NºAsuntos!C18+NºAsuntos!E18)/NºAsuntos!G18),(NºAsuntos!C18+NºAsuntos!E18)/NºAsuntos!G18," - ")</f>
        <v>1.3588059701492536</v>
      </c>
      <c r="AP18" s="877" t="str">
        <f t="shared" si="2"/>
        <v xml:space="preserve"> - </v>
      </c>
      <c r="AQ18" s="877">
        <f>IF(ISNUMBER((H18-W18+K18)/(F18)),(H18-W18+K18)/(F18)," - ")</f>
        <v>-2.3459383753501402</v>
      </c>
      <c r="AR18" s="878">
        <f>IF(ISNUMBER((Datos!P18-Datos!Q18)/(Datos!R18-Datos!P18+Datos!Q18)),(Datos!P18-Datos!Q18)/(Datos!R18-Datos!P18+Datos!Q18)," - ")</f>
        <v>4.8387096774193547E-2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722</v>
      </c>
      <c r="G19" s="821">
        <f t="shared" si="13"/>
        <v>733</v>
      </c>
      <c r="H19" s="820">
        <f t="shared" si="13"/>
        <v>0</v>
      </c>
      <c r="I19" s="822">
        <f t="shared" si="13"/>
        <v>0</v>
      </c>
      <c r="J19" s="822">
        <f t="shared" si="13"/>
        <v>0</v>
      </c>
      <c r="K19" s="881">
        <f t="shared" si="13"/>
        <v>0</v>
      </c>
      <c r="L19" s="822">
        <f t="shared" si="13"/>
        <v>514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1699</v>
      </c>
      <c r="X19" s="821">
        <f t="shared" si="14"/>
        <v>654</v>
      </c>
      <c r="Y19" s="828">
        <f t="shared" si="14"/>
        <v>2353</v>
      </c>
      <c r="Z19" s="828">
        <f t="shared" si="14"/>
        <v>0</v>
      </c>
      <c r="AA19" s="828">
        <f t="shared" si="14"/>
        <v>636</v>
      </c>
      <c r="AB19" s="828">
        <f t="shared" si="14"/>
        <v>1610</v>
      </c>
      <c r="AC19" s="828">
        <f t="shared" si="14"/>
        <v>708</v>
      </c>
      <c r="AD19" s="828">
        <f t="shared" si="14"/>
        <v>0</v>
      </c>
      <c r="AE19" s="830">
        <f t="shared" si="14"/>
        <v>0</v>
      </c>
      <c r="AF19" s="831">
        <f t="shared" si="14"/>
        <v>0</v>
      </c>
      <c r="AG19" s="832">
        <f t="shared" si="14"/>
        <v>0</v>
      </c>
      <c r="AH19" s="830">
        <f t="shared" si="14"/>
        <v>0</v>
      </c>
      <c r="AI19" s="820">
        <f t="shared" si="14"/>
        <v>882</v>
      </c>
      <c r="AJ19" s="820">
        <f t="shared" si="14"/>
        <v>0</v>
      </c>
      <c r="AK19" s="830">
        <f t="shared" si="14"/>
        <v>0</v>
      </c>
      <c r="AL19" s="884">
        <f>IF(ISNUMBER(NºAsuntos!G19/NºAsuntos!E19),NºAsuntos!G19/NºAsuntos!E19," - ")</f>
        <v>0.98446490218642113</v>
      </c>
      <c r="AM19" s="885">
        <f>IF(ISNUMBER(((NºAsuntos!I19/NºAsuntos!G19)*11)/factor_trimestre),((NºAsuntos!I19/NºAsuntos!G19)*11)/factor_trimestre," - ")</f>
        <v>6.6957919345412034</v>
      </c>
      <c r="AN19" s="885">
        <f>IF(ISNUMBER('Resol  Asuntos'!D19/NºAsuntos!G19),'Resol  Asuntos'!D19/NºAsuntos!G19," - ")</f>
        <v>0.25774400935125658</v>
      </c>
      <c r="AO19" s="886">
        <f>IF(ISNUMBER((NºAsuntos!C19+NºAsuntos!E19)/NºAsuntos!G19),(NºAsuntos!C19+NºAsuntos!E19)/NºAsuntos!G19," - ")</f>
        <v>1.6019871420222092</v>
      </c>
      <c r="AP19" s="887" t="str">
        <f t="shared" si="2"/>
        <v xml:space="preserve"> - </v>
      </c>
      <c r="AQ19" s="888">
        <f>IF(OR(ISNUMBER(FIND("01",Criterios!A8,1)),ISNUMBER(FIND("02",Criterios!A8,1)),ISNUMBER(FIND("03",Criterios!A8,1)),ISNUMBER(FIND("04",Criterios!A8,1))),(I19-W19+K19)/(F19-K19),(H19-W19+K19)/(F19-K19))</f>
        <v>-2.3531855955678669</v>
      </c>
      <c r="AR19" s="889">
        <f>IF(ISNUMBER((Datos!P19-Datos!Q19)/(Datos!R19-Datos!P19+Datos!Q19)),(Datos!P19-Datos!Q19)/(Datos!R19-Datos!P19+Datos!Q19)," - ")</f>
        <v>-0.08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407.60929004787579</v>
      </c>
      <c r="G21" s="253">
        <f>IF(ISNUMBER(STDEV(G8:G18)),STDEV(G8:G18),"-")</f>
        <v>378.99828495654174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877.70912038100641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278.31708535409751</v>
      </c>
      <c r="AJ21" s="252">
        <f t="shared" si="18"/>
        <v>0</v>
      </c>
      <c r="AK21" s="254">
        <f t="shared" si="18"/>
        <v>0</v>
      </c>
      <c r="AL21" s="249">
        <f t="shared" si="18"/>
        <v>9.8385648042951357E-2</v>
      </c>
      <c r="AM21" s="250">
        <f t="shared" si="18"/>
        <v>2.3532668770878842</v>
      </c>
      <c r="AN21" s="250">
        <f t="shared" si="18"/>
        <v>0.20857849314410234</v>
      </c>
      <c r="AO21" s="251">
        <f t="shared" si="18"/>
        <v>0.21958870034746977</v>
      </c>
      <c r="AP21" s="291" t="str">
        <f t="shared" si="18"/>
        <v>-</v>
      </c>
      <c r="AQ21" s="292">
        <f t="shared" si="18"/>
        <v>0.46249141010380235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JB90EeHU2wBmhLvOdv6iHOcXme4FG1L5QOEr/AhdPyEG/GR7qTN/bX3eX+xlrzFZgM+RBVVMV9xgK/ZQR5WOg==" saltValue="K8G2GNqTiBx/EFYFwlJZ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BENAVENTE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v>
      </c>
      <c r="E10" s="348">
        <f>IF(ISNUMBER((Datos!J10-Datos!T10)/Datos!T10),(Datos!J10-Datos!T10)/Datos!T10," - ")</f>
        <v>0.27272727272727271</v>
      </c>
      <c r="F10" s="348">
        <f>IF(ISNUMBER((Datos!K10-Datos!U10)/Datos!U10),(Datos!K10-Datos!U10)/Datos!U10," - ")</f>
        <v>0.6</v>
      </c>
      <c r="G10" s="349">
        <f>IF(ISNUMBER((Datos!L10-Datos!V10)/Datos!V10),(Datos!L10-Datos!V10)/Datos!V10," - ")</f>
        <v>0.5</v>
      </c>
      <c r="H10" s="230">
        <f>IF(ISNUMBER((Datos!M10-Datos!W10)/Datos!W10),(Datos!M10-Datos!W10)/Datos!W10," - ")</f>
        <v>3</v>
      </c>
      <c r="I10" s="350">
        <f>IF(ISNUMBER((Tasas!C10-Datos!BE10)/Datos!BE10),(Tasas!C10-Datos!BE10)/Datos!BE10," - ")</f>
        <v>-6.2499999999999986E-2</v>
      </c>
      <c r="J10" s="349">
        <f>IF(ISNUMBER((Tasas!D10-Datos!BF10)/Datos!BF10),(Tasas!D10-Datos!BF10)/Datos!BF10," - ")</f>
        <v>1.5</v>
      </c>
      <c r="K10" s="351">
        <f>IF(ISNUMBER((Tasas!E10-Datos!BG10)/Datos!BG10),(Tasas!E10-Datos!BG10)/Datos!BG10," - ")</f>
        <v>-2.1739130434782674E-2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0.91950464396284826</v>
      </c>
      <c r="I12" s="350">
        <f>IF(ISNUMBER((Tasas!C12-Datos!BE12)/Datos!BE12),(Tasas!C12-Datos!BE12)/Datos!BE12," - ")</f>
        <v>-0.36007867313400921</v>
      </c>
      <c r="J12" s="349">
        <f>IF(ISNUMBER((Tasas!D12-Datos!BF12)/Datos!BF12),(Tasas!D12-Datos!BF12)/Datos!BF12," - ")</f>
        <v>0.69438042700415281</v>
      </c>
      <c r="K12" s="351">
        <f>IF(ISNUMBER((Tasas!E12-Datos!BG12)/Datos!BG12),(Tasas!E12-Datos!BG12)/Datos!BG12," - ")</f>
        <v>-0.20436029910815587</v>
      </c>
      <c r="M12" t="e">
        <f>IF(Monitorios="SI",Datos!CE12,0)</f>
        <v>#REF!</v>
      </c>
      <c r="N12" t="e">
        <f>IF(Monitorios="SI",Datos!CF12,0)</f>
        <v>#REF!</v>
      </c>
      <c r="O12" t="e">
        <f>IF(Monitorios="SI",Datos!CG12,0)</f>
        <v>#REF!</v>
      </c>
      <c r="P12" t="e">
        <f>IF(Monitorios="SI",Datos!CH12,0)</f>
        <v>#REF!</v>
      </c>
      <c r="Q12">
        <f>IF(J_V="SI",0,Datos!AG12)</f>
        <v>34</v>
      </c>
      <c r="R12">
        <f>IF(J_V="SI",0,Datos!AH12)</f>
        <v>38</v>
      </c>
      <c r="S12">
        <f>IF(J_V="SI",0,Datos!AI12)</f>
        <v>65</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0.94495412844036697</v>
      </c>
      <c r="I13" s="357">
        <f>IF(ISNUMBER((Tasas!C13-Datos!BE13)/Datos!BE13),(Tasas!C13-Datos!BE13)/Datos!BE13," - ")</f>
        <v>-0.35783077670341085</v>
      </c>
      <c r="J13" s="355">
        <f>IF(ISNUMBER((Tasas!D13-Datos!BF13)/Datos!BF13),(Tasas!D13-Datos!BF13)/Datos!BF13," - ")</f>
        <v>0.70758034181045049</v>
      </c>
      <c r="K13" s="358">
        <f>IF(ISNUMBER((Tasas!E13-Datos!BG13)/Datos!BG13),(Tasas!E13-Datos!BG13)/Datos!BG13," - ")</f>
        <v>-0.20228650704195469</v>
      </c>
      <c r="M13" t="e">
        <f>IF(Monitorios="SI",Datos!CE13,0)</f>
        <v>#REF!</v>
      </c>
      <c r="N13" t="e">
        <f>IF(Monitorios="SI",Datos!CF13,0)</f>
        <v>#REF!</v>
      </c>
      <c r="O13" t="e">
        <f>IF(Monitorios="SI",Datos!CG13,0)</f>
        <v>#REF!</v>
      </c>
      <c r="P13" t="e">
        <f>IF(Monitorios="SI",Datos!CH13,0)</f>
        <v>#REF!</v>
      </c>
      <c r="Q13">
        <f>IF(J_V="SI",0,Datos!AG13)</f>
        <v>34</v>
      </c>
      <c r="R13">
        <f>IF(J_V="SI",0,Datos!AH13)</f>
        <v>38</v>
      </c>
      <c r="S13">
        <f>IF(J_V="SI",0,Datos!AI13)</f>
        <v>65</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-1.5669515669515671E-2</v>
      </c>
      <c r="E16" s="348">
        <f>IF(ISNUMBER(
   IF(D_I="SI",(Datos!J16-Datos!T16)/Datos!T16,(Datos!J16+Datos!AD16-(Datos!T16+Datos!AL16))/(Datos!T16+Datos!AL16))
     ),IF(D_I="SI",(Datos!J16-Datos!T16)/Datos!T16,(Datos!J16+Datos!AD16-(Datos!T16+Datos!AL16))/(Datos!T16+Datos!AL16))," - ")</f>
        <v>0.33333333333333331</v>
      </c>
      <c r="F16" s="348">
        <f>IF(ISNUMBER(
   IF(D_I="SI",(Datos!K16-Datos!U16)/Datos!U16,(Datos!K16+Datos!AE16-(Datos!U16+Datos!AM16))/(Datos!U16+Datos!AM16))
     ),IF(D_I="SI",(Datos!K16-Datos!U16)/Datos!U16,(Datos!K16+Datos!AE16-(Datos!U16+Datos!AM16))/(Datos!U16+Datos!AM16))," - ")</f>
        <v>0.43649373881932019</v>
      </c>
      <c r="G16" s="349">
        <f>IF(ISNUMBER(
   IF(D_I="SI",(Datos!L16-Datos!V16)/Datos!V16,(Datos!L16+Datos!AF16-(Datos!V16+Datos!AN16))/(Datos!V16+Datos!AN16))
     ),IF(D_I="SI",(Datos!L16-Datos!V16)/Datos!V16,(Datos!L16+Datos!AF16-(Datos!V16+Datos!AN16))/(Datos!V16+Datos!AN16))," - ")</f>
        <v>-0.15484804630969609</v>
      </c>
      <c r="H16" s="230">
        <f>IF(ISNUMBER((Datos!M16-Datos!W16)/Datos!W16),(Datos!M16-Datos!W16)/Datos!W16," - ")</f>
        <v>5.3333333333333337E-2</v>
      </c>
      <c r="I16" s="350">
        <f>IF(ISNUMBER((Tasas!C16-Datos!BE16)/Datos!BE16),(Tasas!C16-Datos!BE16)/Datos!BE16," - ")</f>
        <v>-0.41165636100513087</v>
      </c>
      <c r="J16" s="349">
        <f>IF(ISNUMBER((Tasas!D16-Datos!BF16)/Datos!BF16),(Tasas!D16-Datos!BF16)/Datos!BF16," - ")</f>
        <v>-0.26673308426733083</v>
      </c>
      <c r="K16" s="351">
        <f>IF(ISNUMBER((Tasas!E16-Datos!BG16)/Datos!BG16),(Tasas!E16-Datos!BG16)/Datos!BG16," - ")</f>
        <v>-0.16609494385000417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0.25925925925925924</v>
      </c>
      <c r="E17" s="348">
        <f>IF(ISNUMBER(
   IF(D_I="SI",(Datos!J17-Datos!T17)/Datos!T17,(Datos!J17+Datos!AD17-(Datos!T17+Datos!AL17))/(Datos!T17+Datos!AL17))
     ),IF(D_I="SI",(Datos!J17-Datos!T17)/Datos!T17,(Datos!J17+Datos!AD17-(Datos!T17+Datos!AL17))/(Datos!T17+Datos!AL17))," - ")</f>
        <v>-0.17582417582417584</v>
      </c>
      <c r="F17" s="348">
        <f>IF(ISNUMBER(
   IF(D_I="SI",(Datos!K17-Datos!U17)/Datos!U17,(Datos!K17+Datos!AE17-(Datos!U17+Datos!AM17))/(Datos!U17+Datos!AM17))
     ),IF(D_I="SI",(Datos!K17-Datos!U17)/Datos!U17,(Datos!K17+Datos!AE17-(Datos!U17+Datos!AM17))/(Datos!U17+Datos!AM17))," - ")</f>
        <v>-0.17857142857142858</v>
      </c>
      <c r="G17" s="349">
        <f>IF(ISNUMBER(
   IF(D_I="SI",(Datos!L17-Datos!V17)/Datos!V17,(Datos!L17+Datos!AF17-(Datos!V17+Datos!AN17))/(Datos!V17+Datos!AN17))
     ),IF(D_I="SI",(Datos!L17-Datos!V17)/Datos!V17,(Datos!L17+Datos!AF17-(Datos!V17+Datos!AN17))/(Datos!V17+Datos!AN17))," - ")</f>
        <v>0.17647058823529413</v>
      </c>
      <c r="H17" s="230">
        <f>IF(ISNUMBER((Datos!M17-Datos!W17)/Datos!W17),(Datos!M17-Datos!W17)/Datos!W17," - ")</f>
        <v>-0.4375</v>
      </c>
      <c r="I17" s="350">
        <f>IF(ISNUMBER((Tasas!C17-Datos!BE17)/Datos!BE17),(Tasas!C17-Datos!BE17)/Datos!BE17," - ")</f>
        <v>0.43222506393861898</v>
      </c>
      <c r="J17" s="349">
        <f>IF(ISNUMBER((Tasas!D17-Datos!BF17)/Datos!BF17),(Tasas!D17-Datos!BF17)/Datos!BF17," - ")</f>
        <v>-0.31521739130434778</v>
      </c>
      <c r="K17" s="351">
        <f>IF(ISNUMBER((Tasas!E17-Datos!BG17)/Datos!BG17),(Tasas!E17-Datos!BG17)/Datos!BG17," - ")</f>
        <v>0.12453942520265293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-5.4869684499314125E-3</v>
      </c>
      <c r="E18" s="354">
        <f>IF(ISNUMBER(
   IF(D_I="SI",(Datos!J18-Datos!T18)/Datos!T18,(Datos!J18+Datos!AD18-(Datos!T18+Datos!AL18))/(Datos!T18+Datos!AL18))
     ),IF(D_I="SI",(Datos!J18-Datos!T18)/Datos!T18,(Datos!J18+Datos!AD18-(Datos!T18+Datos!AL18))/(Datos!T18+Datos!AL18))," - ")</f>
        <v>0.29465776293823037</v>
      </c>
      <c r="F18" s="354">
        <f>IF(ISNUMBER(
   IF(D_I="SI",(Datos!K18-Datos!U18)/Datos!U18,(Datos!K18+Datos!AE18-(Datos!U18+Datos!AM18))/(Datos!U18+Datos!AM18))
     ),IF(D_I="SI",(Datos!K18-Datos!U18)/Datos!U18,(Datos!K18+Datos!AE18-(Datos!U18+Datos!AM18))/(Datos!U18+Datos!AM18))," - ")</f>
        <v>0.39351081530782028</v>
      </c>
      <c r="G18" s="355">
        <f>IF(ISNUMBER(
   IF(D_I="SI",(Datos!L18-Datos!V18)/Datos!V18,(Datos!L18+Datos!AF18-(Datos!V18+Datos!AN18))/(Datos!V18+Datos!AN18))
     ),IF(D_I="SI",(Datos!L18-Datos!V18)/Datos!V18,(Datos!L18+Datos!AF18-(Datos!V18+Datos!AN18))/(Datos!V18+Datos!AN18))," - ")</f>
        <v>-0.1393103448275862</v>
      </c>
      <c r="H18" s="356">
        <f>IF(ISNUMBER((Datos!M18-Datos!W18)/Datos!W18),(Datos!M18-Datos!W18)/Datos!W18," - ")</f>
        <v>2.0746887966804978E-2</v>
      </c>
      <c r="I18" s="357">
        <f>IF(ISNUMBER((Tasas!C18-Datos!BE18)/Datos!BE18),(Tasas!C18-Datos!BE18)/Datos!BE18," - ")</f>
        <v>-0.38235882655687087</v>
      </c>
      <c r="J18" s="355">
        <f>IF(ISNUMBER((Tasas!D18-Datos!BF18)/Datos!BF18),(Tasas!D18-Datos!BF18)/Datos!BF18," - ")</f>
        <v>-0.26749984517247782</v>
      </c>
      <c r="K18" s="358">
        <f>IF(ISNUMBER((Tasas!E18-Datos!BG18)/Datos!BG18),(Tasas!E18-Datos!BG18)/Datos!BG18," - ")</f>
        <v>-0.15242097762355838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0.14236902050113895</v>
      </c>
      <c r="E19" s="363">
        <f>IF(ISNUMBER(
   IF(J_V="SI",(Datos!J19-Datos!T19)/Datos!T19,(Datos!J19+Datos!Z19-(Datos!T19+Datos!AH19))/(Datos!T19+Datos!AH19))
     ),IF(J_V="SI",(Datos!J19-Datos!T19)/Datos!T19,(Datos!J19+Datos!Z19-(Datos!T19+Datos!AH19))/(Datos!T19+Datos!AH19))," - ")</f>
        <v>0.42634386540828889</v>
      </c>
      <c r="F19" s="363">
        <f>IF(ISNUMBER(
   IF(J_V="SI",(Datos!K19-Datos!U19)/Datos!U19,(Datos!K19+Datos!AA19-(Datos!U19+Datos!AI19))/(Datos!U19+Datos!AI19))
     ),IF(J_V="SI",(Datos!K19-Datos!U19)/Datos!U19,(Datos!K19+Datos!AA19-(Datos!U19+Datos!AI19))/(Datos!U19+Datos!AI19))," - ")</f>
        <v>0.56470050297210794</v>
      </c>
      <c r="G19" s="364">
        <f>IF(ISNUMBER(
   IF(J_V="SI",(Datos!L19-Datos!V19)/Datos!V19,(Datos!L19+Datos!AB19-(Datos!V19+Datos!AJ19))/(Datos!V19+Datos!AJ19))
     ),IF(J_V="SI",(Datos!L19-Datos!V19)/Datos!V19,(Datos!L19+Datos!AB19-(Datos!V19+Datos!AJ19))/(Datos!V19+Datos!AJ19))," - ")</f>
        <v>3.8384845463609173E-2</v>
      </c>
      <c r="H19" s="365">
        <f>IF(ISNUMBER((Datos!M19-Datos!W19)/Datos!W19),(Datos!M19-Datos!W19)/Datos!W19," - ")</f>
        <v>0.55281690140845074</v>
      </c>
      <c r="I19" s="362">
        <f>IF(ISNUMBER((Tasas!C19-Datos!BE19)/Datos!BE19),(Tasas!C19-Datos!BE19)/Datos!BE19," - ")</f>
        <v>-0.3363683059529769</v>
      </c>
      <c r="J19" s="363">
        <f>IF(ISNUMBER((Tasas!D19-Datos!BF19)/Datos!BF19),(Tasas!D19-Datos!BF19)/Datos!BF19," - ")</f>
        <v>0.24985842228647034</v>
      </c>
      <c r="K19" s="364">
        <f>IF(ISNUMBER((Tasas!E19-Datos!BG19)/Datos!BG19),(Tasas!E19-Datos!BG19)/Datos!BG19," - ")</f>
        <v>-0.16442979260611224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3.4626559198676805</v>
      </c>
      <c r="E21" s="278">
        <f t="shared" si="1"/>
        <v>0.23934683107699231</v>
      </c>
      <c r="F21" s="278">
        <f t="shared" si="1"/>
        <v>0.33948199950326313</v>
      </c>
      <c r="G21" s="279">
        <f t="shared" si="1"/>
        <v>0.30983140798480724</v>
      </c>
      <c r="H21" s="285">
        <f t="shared" si="1"/>
        <v>1.2293534522225471</v>
      </c>
      <c r="I21" s="277">
        <f t="shared" si="1"/>
        <v>0.33064992334243337</v>
      </c>
      <c r="J21" s="278">
        <f t="shared" si="1"/>
        <v>0.74468323961365668</v>
      </c>
      <c r="K21" s="279">
        <f t="shared" si="1"/>
        <v>0.13032994500515666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7jEeU948emAP6JnifMYf8AyMkawAiD2Lf8tgr1Qi/nb4ZfOzRwxVtKXwkp2pheu9yQ6Nx//MUlCgSEj7AqavA==" saltValue="cPl1HKOG0Ya1EZAqQVv8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